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dy Litchford\Documents\"/>
    </mc:Choice>
  </mc:AlternateContent>
  <bookViews>
    <workbookView xWindow="0" yWindow="0" windowWidth="18968" windowHeight="8093" firstSheet="1" activeTab="1"/>
  </bookViews>
  <sheets>
    <sheet name="Budget - Drafted" sheetId="13" r:id="rId1"/>
    <sheet name="Budget-FY2024" sheetId="4" r:id="rId2"/>
    <sheet name="Payroll FY2024" sheetId="5" r:id="rId3"/>
    <sheet name="Safety" sheetId="12" r:id="rId4"/>
    <sheet name="Capital" sheetId="11" r:id="rId5"/>
    <sheet name="Title I" sheetId="6" r:id="rId6"/>
    <sheet name="Title IV" sheetId="7" r:id="rId7"/>
    <sheet name="CARES" sheetId="8" r:id="rId8"/>
    <sheet name="Sheet5" sheetId="10" r:id="rId9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'Budget-FY2024'!$A$1:$F$139</definedName>
    <definedName name="_xlnm.Print_Area" localSheetId="2">'Payroll FY2024'!$A$1:$I$28</definedName>
    <definedName name="_xlnm.Print_Titles" localSheetId="0">'Budget - Drafted'!$A:$F,'Budget - Drafted'!$1:$1</definedName>
    <definedName name="_xlnm.Print_Titles" localSheetId="1">'Budget-FY2024'!$2:$7</definedName>
    <definedName name="QB_COLUMN_59200" localSheetId="0" hidden="1">'Budget - Drafted'!#REF!</definedName>
    <definedName name="QB_COLUMN_62220" localSheetId="0" hidden="1">'Budget - Drafted'!$G$1</definedName>
    <definedName name="QB_COLUMN_76210" localSheetId="0" hidden="1">'Budget - Drafted'!#REF!</definedName>
    <definedName name="QB_COLUMN_76230" localSheetId="0" hidden="1">'Budget - Drafted'!#REF!</definedName>
    <definedName name="QB_COLUMN_76240" localSheetId="0" hidden="1">'Budget - Drafted'!$M$1</definedName>
    <definedName name="QB_DATA_0" localSheetId="0" hidden="1">'Budget - Drafted'!$5:$5,'Budget - Drafted'!$7:$7,'Budget - Drafted'!$8:$8,'Budget - Drafted'!$9:$9,'Budget - Drafted'!$13:$13,'Budget - Drafted'!$14:$14,'Budget - Drafted'!$15:$15,'Budget - Drafted'!$18:$18,'Budget - Drafted'!$20:$20,'Budget - Drafted'!$21:$21,'Budget - Drafted'!$22:$22,'Budget - Drafted'!$23:$23,'Budget - Drafted'!$29:$29,'Budget - Drafted'!$30:$30,'Budget - Drafted'!$31:$31,'Budget - Drafted'!$32:$32</definedName>
    <definedName name="QB_DATA_1" localSheetId="0" hidden="1">'Budget - Drafted'!$33:$33,'Budget - Drafted'!$34:$34,'Budget - Drafted'!$35:$35,'Budget - Drafted'!$36:$36,'Budget - Drafted'!$37:$37,'Budget - Drafted'!$38:$38,'Budget - Drafted'!$39:$39,'Budget - Drafted'!$40:$40,'Budget - Drafted'!$41:$41,'Budget - Drafted'!$42:$42,'Budget - Drafted'!$43:$43,'Budget - Drafted'!$44:$44,'Budget - Drafted'!$45:$45,'Budget - Drafted'!$47:$47,'Budget - Drafted'!$50:$50,'Budget - Drafted'!$54:$54</definedName>
    <definedName name="QB_DATA_2" localSheetId="0" hidden="1">'Budget - Drafted'!$57:$57,'Budget - Drafted'!$60:$60,'Budget - Drafted'!$61:$61,'Budget - Drafted'!$62:$62,'Budget - Drafted'!$63:$63,'Budget - Drafted'!$64:$64,'Budget - Drafted'!$65:$65,'Budget - Drafted'!$67:$67,'Budget - Drafted'!$68:$68,'Budget - Drafted'!$69:$69,'Budget - Drafted'!$70:$70,'Budget - Drafted'!$71:$71,'Budget - Drafted'!$72:$72,'Budget - Drafted'!$73:$73,'Budget - Drafted'!$74:$74,'Budget - Drafted'!$76:$76</definedName>
    <definedName name="QB_DATA_3" localSheetId="0" hidden="1">'Budget - Drafted'!$79:$79,'Budget - Drafted'!$80:$80,'Budget - Drafted'!$81:$81,'Budget - Drafted'!$82:$82,'Budget - Drafted'!$83:$83,'Budget - Drafted'!$86:$86,'Budget - Drafted'!$87:$87,'Budget - Drafted'!$88:$88,'Budget - Drafted'!$89:$89,'Budget - Drafted'!$90:$90,'Budget - Drafted'!$93:$93,'Budget - Drafted'!$94:$94,'Budget - Drafted'!$97:$97,'Budget - Drafted'!$98:$98,'Budget - Drafted'!$99:$99,'Budget - Drafted'!$100:$100</definedName>
    <definedName name="QB_DATA_4" localSheetId="0" hidden="1">'Budget - Drafted'!$102:$102,'Budget - Drafted'!$103:$103,'Budget - Drafted'!$106:$106,'Budget - Drafted'!$108:$108,'Budget - Drafted'!$109:$109,'Budget - Drafted'!$110:$110,'Budget - Drafted'!$111:$111,'Budget - Drafted'!$112:$112,'Budget - Drafted'!$113:$113,'Budget - Drafted'!$114:$114,'Budget - Drafted'!$117:$117,'Budget - Drafted'!$123:$123</definedName>
    <definedName name="QB_FORMULA_0" localSheetId="0" hidden="1">'Budget - Drafted'!#REF!,'Budget - Drafted'!#REF!,'Budget - Drafted'!$G$10,'Budget - Drafted'!#REF!,'Budget - Drafted'!$M$10,'Budget - Drafted'!#REF!,'Budget - Drafted'!#REF!,'Budget - Drafted'!$G$16,'Budget - Drafted'!#REF!,'Budget - Drafted'!$M$16,'Budget - Drafted'!#REF!,'Budget - Drafted'!#REF!,'Budget - Drafted'!$G$24,'Budget - Drafted'!#REF!,'Budget - Drafted'!$M$24,'Budget - Drafted'!#REF!</definedName>
    <definedName name="QB_FORMULA_1" localSheetId="0" hidden="1">'Budget - Drafted'!#REF!,'Budget - Drafted'!$G$25,'Budget - Drafted'!#REF!,'Budget - Drafted'!$M$25,'Budget - Drafted'!#REF!,'Budget - Drafted'!#REF!,'Budget - Drafted'!$G$26,'Budget - Drafted'!#REF!,'Budget - Drafted'!$M$26,'Budget - Drafted'!#REF!,'Budget - Drafted'!#REF!,'Budget - Drafted'!$G$48,'Budget - Drafted'!#REF!,'Budget - Drafted'!$M$48,'Budget - Drafted'!#REF!,'Budget - Drafted'!#REF!</definedName>
    <definedName name="QB_FORMULA_2" localSheetId="0" hidden="1">'Budget - Drafted'!$M$51,'Budget - Drafted'!#REF!,'Budget - Drafted'!$G$55,'Budget - Drafted'!#REF!,'Budget - Drafted'!$M$55,'Budget - Drafted'!$G$58,'Budget - Drafted'!#REF!,'Budget - Drafted'!#REF!,'Budget - Drafted'!$G$77,'Budget - Drafted'!#REF!,'Budget - Drafted'!$M$77,'Budget - Drafted'!#REF!,'Budget - Drafted'!#REF!,'Budget - Drafted'!$G$84,'Budget - Drafted'!#REF!,'Budget - Drafted'!$M$84</definedName>
    <definedName name="QB_FORMULA_3" localSheetId="0" hidden="1">'Budget - Drafted'!#REF!,'Budget - Drafted'!#REF!,'Budget - Drafted'!$G$91,'Budget - Drafted'!#REF!,'Budget - Drafted'!$M$91,'Budget - Drafted'!#REF!,'Budget - Drafted'!$G$95,'Budget - Drafted'!#REF!,'Budget - Drafted'!$M$95,'Budget - Drafted'!#REF!,'Budget - Drafted'!#REF!,'Budget - Drafted'!$G$104,'Budget - Drafted'!#REF!,'Budget - Drafted'!$M$104,'Budget - Drafted'!#REF!,'Budget - Drafted'!#REF!</definedName>
    <definedName name="QB_FORMULA_4" localSheetId="0" hidden="1">'Budget - Drafted'!$G$115,'Budget - Drafted'!#REF!,'Budget - Drafted'!$M$115,'Budget - Drafted'!#REF!,'Budget - Drafted'!#REF!,'Budget - Drafted'!$M$118,'Budget - Drafted'!#REF!,'Budget - Drafted'!#REF!,'Budget - Drafted'!$G$119,'Budget - Drafted'!#REF!,'Budget - Drafted'!$M$119,'Budget - Drafted'!#REF!,'Budget - Drafted'!#REF!,'Budget - Drafted'!$G$120,'Budget - Drafted'!#REF!,'Budget - Drafted'!$M$120</definedName>
    <definedName name="QB_FORMULA_5" localSheetId="0" hidden="1">'Budget - Drafted'!#REF!,'Budget - Drafted'!#REF!,'Budget - Drafted'!$G$125,'Budget - Drafted'!#REF!,'Budget - Drafted'!$M$125,'Budget - Drafted'!#REF!,'Budget - Drafted'!#REF!,'Budget - Drafted'!$G$126,'Budget - Drafted'!#REF!,'Budget - Drafted'!$M$126,'Budget - Drafted'!#REF!,'Budget - Drafted'!#REF!,'Budget - Drafted'!$G$127,'Budget - Drafted'!#REF!,'Budget - Drafted'!$M$127</definedName>
    <definedName name="QB_ROW_18301" localSheetId="0" hidden="1">'Budget - Drafted'!$A$127</definedName>
    <definedName name="QB_ROW_19011" localSheetId="0" hidden="1">'Budget - Drafted'!$B$2</definedName>
    <definedName name="QB_ROW_19311" localSheetId="0" hidden="1">'Budget - Drafted'!$B$120</definedName>
    <definedName name="QB_ROW_20031" localSheetId="0" hidden="1">'Budget - Drafted'!$D$3</definedName>
    <definedName name="QB_ROW_201250" localSheetId="0" hidden="1">'Budget - Drafted'!$F$14</definedName>
    <definedName name="QB_ROW_20331" localSheetId="0" hidden="1">'Budget - Drafted'!$D$25</definedName>
    <definedName name="QB_ROW_205250" localSheetId="0" hidden="1">'Budget - Drafted'!$F$15</definedName>
    <definedName name="QB_ROW_21031" localSheetId="0" hidden="1">'Budget - Drafted'!$D$27</definedName>
    <definedName name="QB_ROW_21331" localSheetId="0" hidden="1">'Budget - Drafted'!$D$119</definedName>
    <definedName name="QB_ROW_22011" localSheetId="0" hidden="1">'Budget - Drafted'!$B$121</definedName>
    <definedName name="QB_ROW_22311" localSheetId="0" hidden="1">'Budget - Drafted'!$B$126</definedName>
    <definedName name="QB_ROW_23021" localSheetId="0" hidden="1">'Budget - Drafted'!$C$122</definedName>
    <definedName name="QB_ROW_23321" localSheetId="0" hidden="1">'Budget - Drafted'!$C$125</definedName>
    <definedName name="QB_ROW_235040" localSheetId="0" hidden="1">'Budget - Drafted'!$E$59</definedName>
    <definedName name="QB_ROW_235340" localSheetId="0" hidden="1">'Budget - Drafted'!$E$77</definedName>
    <definedName name="QB_ROW_236250" localSheetId="0" hidden="1">'Budget - Drafted'!$F$60</definedName>
    <definedName name="QB_ROW_237040" localSheetId="0" hidden="1">'Budget - Drafted'!$E$28</definedName>
    <definedName name="QB_ROW_237340" localSheetId="0" hidden="1">'Budget - Drafted'!$E$48</definedName>
    <definedName name="QB_ROW_238350" localSheetId="0" hidden="1">'Budget - Drafted'!$F$29</definedName>
    <definedName name="QB_ROW_239250" localSheetId="0" hidden="1">'Budget - Drafted'!$F$30</definedName>
    <definedName name="QB_ROW_241250" localSheetId="0" hidden="1">'Budget - Drafted'!$F$31</definedName>
    <definedName name="QB_ROW_242250" localSheetId="0" hidden="1">'Budget - Drafted'!$F$61</definedName>
    <definedName name="QB_ROW_243250" localSheetId="0" hidden="1">'Budget - Drafted'!$F$32</definedName>
    <definedName name="QB_ROW_244250" localSheetId="0" hidden="1">'Budget - Drafted'!$F$62</definedName>
    <definedName name="QB_ROW_245250" localSheetId="0" hidden="1">'Budget - Drafted'!$F$33</definedName>
    <definedName name="QB_ROW_246250" localSheetId="0" hidden="1">'Budget - Drafted'!$F$63</definedName>
    <definedName name="QB_ROW_247250" localSheetId="0" hidden="1">'Budget - Drafted'!$F$34</definedName>
    <definedName name="QB_ROW_248250" localSheetId="0" hidden="1">'Budget - Drafted'!$F$65</definedName>
    <definedName name="QB_ROW_249250" localSheetId="0" hidden="1">'Budget - Drafted'!$F$35</definedName>
    <definedName name="QB_ROW_250250" localSheetId="0" hidden="1">'Budget - Drafted'!$F$36</definedName>
    <definedName name="QB_ROW_251040" localSheetId="0" hidden="1">'Budget - Drafted'!$E$78</definedName>
    <definedName name="QB_ROW_251340" localSheetId="0" hidden="1">'Budget - Drafted'!$E$84</definedName>
    <definedName name="QB_ROW_252250" localSheetId="0" hidden="1">'Budget - Drafted'!$F$79</definedName>
    <definedName name="QB_ROW_253250" localSheetId="0" hidden="1">'Budget - Drafted'!$F$80</definedName>
    <definedName name="QB_ROW_254250" localSheetId="0" hidden="1">'Budget - Drafted'!$F$81</definedName>
    <definedName name="QB_ROW_255040" localSheetId="0" hidden="1">'Budget - Drafted'!$E$96</definedName>
    <definedName name="QB_ROW_255340" localSheetId="0" hidden="1">'Budget - Drafted'!$E$104</definedName>
    <definedName name="QB_ROW_259250" localSheetId="0" hidden="1">'Budget - Drafted'!$F$82</definedName>
    <definedName name="QB_ROW_261040" localSheetId="0" hidden="1">'Budget - Drafted'!$E$52</definedName>
    <definedName name="QB_ROW_261340" localSheetId="0" hidden="1">'Budget - Drafted'!$E$55</definedName>
    <definedName name="QB_ROW_262250" localSheetId="0" hidden="1">'Budget - Drafted'!$F$53</definedName>
    <definedName name="QB_ROW_263250" localSheetId="0" hidden="1">'Budget - Drafted'!$F$66</definedName>
    <definedName name="QB_ROW_264040" localSheetId="0" hidden="1">'Budget - Drafted'!$E$105</definedName>
    <definedName name="QB_ROW_264340" localSheetId="0" hidden="1">'Budget - Drafted'!$E$115</definedName>
    <definedName name="QB_ROW_265250" localSheetId="0" hidden="1">'Budget - Drafted'!$F$111</definedName>
    <definedName name="QB_ROW_267250" localSheetId="0" hidden="1">'Budget - Drafted'!$F$67</definedName>
    <definedName name="QB_ROW_268250" localSheetId="0" hidden="1">'Budget - Drafted'!$F$97</definedName>
    <definedName name="QB_ROW_269250" localSheetId="0" hidden="1">'Budget - Drafted'!$F$37</definedName>
    <definedName name="QB_ROW_270250" localSheetId="0" hidden="1">'Budget - Drafted'!$F$98</definedName>
    <definedName name="QB_ROW_271250" localSheetId="0" hidden="1">'Budget - Drafted'!$F$112</definedName>
    <definedName name="QB_ROW_275250" localSheetId="0" hidden="1">'Budget - Drafted'!$F$68</definedName>
    <definedName name="QB_ROW_278250" localSheetId="0" hidden="1">'Budget - Drafted'!$F$100</definedName>
    <definedName name="QB_ROW_281040" localSheetId="0" hidden="1">'Budget - Drafted'!$E$92</definedName>
    <definedName name="QB_ROW_281340" localSheetId="0" hidden="1">'Budget - Drafted'!$E$95</definedName>
    <definedName name="QB_ROW_282250" localSheetId="0" hidden="1">'Budget - Drafted'!$F$94</definedName>
    <definedName name="QB_ROW_283250" localSheetId="0" hidden="1">'Budget - Drafted'!$F$113</definedName>
    <definedName name="QB_ROW_284040" localSheetId="0" hidden="1">'Budget - Drafted'!$E$116</definedName>
    <definedName name="QB_ROW_284340" localSheetId="0" hidden="1">'Budget - Drafted'!$E$118</definedName>
    <definedName name="QB_ROW_285250" localSheetId="0" hidden="1">'Budget - Drafted'!$F$117</definedName>
    <definedName name="QB_ROW_286250" localSheetId="0" hidden="1">'Budget - Drafted'!$F$69</definedName>
    <definedName name="QB_ROW_287250" localSheetId="0" hidden="1">'Budget - Drafted'!$F$70</definedName>
    <definedName name="QB_ROW_288250" localSheetId="0" hidden="1">'Budget - Drafted'!$F$102</definedName>
    <definedName name="QB_ROW_289250" localSheetId="0" hidden="1">'Budget - Drafted'!$F$38</definedName>
    <definedName name="QB_ROW_290250" localSheetId="0" hidden="1">'Budget - Drafted'!$F$71</definedName>
    <definedName name="QB_ROW_292250" localSheetId="0" hidden="1">'Budget - Drafted'!$F$114</definedName>
    <definedName name="QB_ROW_295040" localSheetId="0" hidden="1">'Budget - Drafted'!$E$85</definedName>
    <definedName name="QB_ROW_295340" localSheetId="0" hidden="1">'Budget - Drafted'!$E$91</definedName>
    <definedName name="QB_ROW_296250" localSheetId="0" hidden="1">'Budget - Drafted'!$F$90</definedName>
    <definedName name="QB_ROW_297250" localSheetId="0" hidden="1">'Budget - Drafted'!$F$39</definedName>
    <definedName name="QB_ROW_300250" localSheetId="0" hidden="1">'Budget - Drafted'!$F$40</definedName>
    <definedName name="QB_ROW_302250" localSheetId="0" hidden="1">'Budget - Drafted'!$F$41</definedName>
    <definedName name="QB_ROW_305250" localSheetId="0" hidden="1">'Budget - Drafted'!$F$42</definedName>
    <definedName name="QB_ROW_306250" localSheetId="0" hidden="1">'Budget - Drafted'!$F$72</definedName>
    <definedName name="QB_ROW_307250" localSheetId="0" hidden="1">'Budget - Drafted'!$F$43</definedName>
    <definedName name="QB_ROW_308250" localSheetId="0" hidden="1">'Budget - Drafted'!$F$44</definedName>
    <definedName name="QB_ROW_309040" localSheetId="0" hidden="1">'Budget - Drafted'!$E$49</definedName>
    <definedName name="QB_ROW_309340" localSheetId="0" hidden="1">'Budget - Drafted'!$E$51</definedName>
    <definedName name="QB_ROW_310250" localSheetId="0" hidden="1">'Budget - Drafted'!$F$50</definedName>
    <definedName name="QB_ROW_311250" localSheetId="0" hidden="1">'Budget - Drafted'!$F$45</definedName>
    <definedName name="QB_ROW_312250" localSheetId="0" hidden="1">'Budget - Drafted'!$F$73</definedName>
    <definedName name="QB_ROW_314250" localSheetId="0" hidden="1">'Budget - Drafted'!$F$46</definedName>
    <definedName name="QB_ROW_315250" localSheetId="0" hidden="1">'Budget - Drafted'!$F$74</definedName>
    <definedName name="QB_ROW_316250" localSheetId="0" hidden="1">'Budget - Drafted'!$F$47</definedName>
    <definedName name="QB_ROW_317250" localSheetId="0" hidden="1">'Budget - Drafted'!$F$75</definedName>
    <definedName name="QB_ROW_319250" localSheetId="0" hidden="1">'Budget - Drafted'!$F$103</definedName>
    <definedName name="QB_ROW_320250" localSheetId="0" hidden="1">'Budget - Drafted'!$F$76</definedName>
    <definedName name="QB_ROW_322250" localSheetId="0" hidden="1">'Budget - Drafted'!$F$83</definedName>
    <definedName name="QB_ROW_323250" localSheetId="0" hidden="1">'Budget - Drafted'!$F$110</definedName>
    <definedName name="QB_ROW_325250" localSheetId="0" hidden="1">'Budget - Drafted'!$F$54</definedName>
    <definedName name="QB_ROW_327250" localSheetId="0" hidden="1">'Budget - Drafted'!$F$64</definedName>
    <definedName name="QB_ROW_329250" localSheetId="0" hidden="1">'Budget - Drafted'!$F$12</definedName>
    <definedName name="QB_ROW_330250" localSheetId="0" hidden="1">'Budget - Drafted'!$F$106</definedName>
    <definedName name="QB_ROW_331250" localSheetId="0" hidden="1">'Budget - Drafted'!$F$108</definedName>
    <definedName name="QB_ROW_332250" localSheetId="0" hidden="1">'Budget - Drafted'!$F$109</definedName>
    <definedName name="QB_ROW_337250" localSheetId="0" hidden="1">'Budget - Drafted'!$F$99</definedName>
    <definedName name="QB_ROW_338250" localSheetId="0" hidden="1">'Budget - Drafted'!$F$101</definedName>
    <definedName name="QB_ROW_340250" localSheetId="0" hidden="1">'Budget - Drafted'!$F$107</definedName>
    <definedName name="QB_ROW_341230" localSheetId="0" hidden="1">'Budget - Drafted'!$D$124</definedName>
    <definedName name="QB_ROW_342230" localSheetId="0" hidden="1">'Budget - Drafted'!$D$123</definedName>
    <definedName name="QB_ROW_351250" localSheetId="0" hidden="1">'Budget - Drafted'!$F$87</definedName>
    <definedName name="QB_ROW_352250" localSheetId="0" hidden="1">'Budget - Drafted'!$F$88</definedName>
    <definedName name="QB_ROW_360250" localSheetId="0" hidden="1">'Budget - Drafted'!$F$19</definedName>
    <definedName name="QB_ROW_363250" localSheetId="0" hidden="1">'Budget - Drafted'!$F$8</definedName>
    <definedName name="QB_ROW_368250" localSheetId="0" hidden="1">'Budget - Drafted'!$F$23</definedName>
    <definedName name="QB_ROW_370040" localSheetId="0" hidden="1">'Budget - Drafted'!$E$56</definedName>
    <definedName name="QB_ROW_370340" localSheetId="0" hidden="1">'Budget - Drafted'!$E$58</definedName>
    <definedName name="QB_ROW_371250" localSheetId="0" hidden="1">'Budget - Drafted'!$F$57</definedName>
    <definedName name="QB_ROW_372250" localSheetId="0" hidden="1">'Budget - Drafted'!$F$9</definedName>
    <definedName name="QB_ROW_373250" localSheetId="0" hidden="1">'Budget - Drafted'!$F$89</definedName>
    <definedName name="QB_ROW_374250" localSheetId="0" hidden="1">'Budget - Drafted'!$F$93</definedName>
    <definedName name="QB_ROW_375250" localSheetId="0" hidden="1">'Budget - Drafted'!$F$86</definedName>
    <definedName name="QB_ROW_81040" localSheetId="0" hidden="1">'Budget - Drafted'!$E$4</definedName>
    <definedName name="QB_ROW_81340" localSheetId="0" hidden="1">'Budget - Drafted'!$E$10</definedName>
    <definedName name="QB_ROW_82250" localSheetId="0" hidden="1">'Budget - Drafted'!$F$5</definedName>
    <definedName name="QB_ROW_83250" localSheetId="0" hidden="1">'Budget - Drafted'!$F$6</definedName>
    <definedName name="QB_ROW_84250" localSheetId="0" hidden="1">'Budget - Drafted'!$F$7</definedName>
    <definedName name="QB_ROW_86040" localSheetId="0" hidden="1">'Budget - Drafted'!$E$11</definedName>
    <definedName name="QB_ROW_86321" localSheetId="0" hidden="1">'Budget - Drafted'!$C$26</definedName>
    <definedName name="QB_ROW_86340" localSheetId="0" hidden="1">'Budget - Drafted'!$E$16</definedName>
    <definedName name="QB_ROW_87250" localSheetId="0" hidden="1">'Budget - Drafted'!$F$13</definedName>
    <definedName name="QB_ROW_91040" localSheetId="0" hidden="1">'Budget - Drafted'!$E$17</definedName>
    <definedName name="QB_ROW_91340" localSheetId="0" hidden="1">'Budget - Drafted'!$E$24</definedName>
    <definedName name="QB_ROW_92250" localSheetId="0" hidden="1">'Budget - Drafted'!$F$18</definedName>
    <definedName name="QB_ROW_93250" localSheetId="0" hidden="1">'Budget - Drafted'!$F$20</definedName>
    <definedName name="QB_ROW_94250" localSheetId="0" hidden="1">'Budget - Drafted'!$F$21</definedName>
    <definedName name="QB_ROW_98250" localSheetId="0" hidden="1">'Budget - Drafted'!$F$22</definedName>
    <definedName name="QBCANSUPPORTUPDATE" localSheetId="0">TRUE</definedName>
    <definedName name="QBCOMPANYFILENAME" localSheetId="0">"Q:\Accounting Client\CFLA\Central Florida Leadership Academy.QBW"</definedName>
    <definedName name="QBENDDATE" localSheetId="0">20220228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"b9ee19ccb418447c8689aa61f155627b"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20220201</definedName>
    <definedName name="Serra__Michael">'Payroll FY2024'!#REF!</definedName>
  </definedNames>
  <calcPr calcId="162913"/>
</workbook>
</file>

<file path=xl/calcChain.xml><?xml version="1.0" encoding="utf-8"?>
<calcChain xmlns="http://schemas.openxmlformats.org/spreadsheetml/2006/main">
  <c r="D10" i="11" l="1"/>
  <c r="E10" i="4" l="1"/>
  <c r="H19" i="5" l="1"/>
  <c r="L15" i="5" l="1"/>
  <c r="C9" i="8" l="1"/>
  <c r="Q76" i="13" l="1"/>
  <c r="M125" i="13"/>
  <c r="M126" i="13" s="1"/>
  <c r="I125" i="13"/>
  <c r="I126" i="13" s="1"/>
  <c r="G125" i="13"/>
  <c r="G126" i="13" s="1"/>
  <c r="K123" i="13"/>
  <c r="K125" i="13" s="1"/>
  <c r="K126" i="13" s="1"/>
  <c r="M118" i="13"/>
  <c r="I117" i="13"/>
  <c r="K117" i="13" s="1"/>
  <c r="O117" i="13" s="1"/>
  <c r="M115" i="13"/>
  <c r="G115" i="13"/>
  <c r="I114" i="13"/>
  <c r="K114" i="13" s="1"/>
  <c r="O114" i="13" s="1"/>
  <c r="Q114" i="13" s="1"/>
  <c r="I113" i="13"/>
  <c r="K113" i="13" s="1"/>
  <c r="O113" i="13" s="1"/>
  <c r="Q113" i="13" s="1"/>
  <c r="I112" i="13"/>
  <c r="K112" i="13" s="1"/>
  <c r="O112" i="13" s="1"/>
  <c r="Q112" i="13" s="1"/>
  <c r="I111" i="13"/>
  <c r="K111" i="13" s="1"/>
  <c r="O111" i="13" s="1"/>
  <c r="Q111" i="13" s="1"/>
  <c r="I110" i="13"/>
  <c r="K110" i="13" s="1"/>
  <c r="O110" i="13" s="1"/>
  <c r="Q110" i="13" s="1"/>
  <c r="I109" i="13"/>
  <c r="K109" i="13" s="1"/>
  <c r="O109" i="13" s="1"/>
  <c r="I108" i="13"/>
  <c r="K108" i="13" s="1"/>
  <c r="O108" i="13" s="1"/>
  <c r="I107" i="13"/>
  <c r="K107" i="13" s="1"/>
  <c r="O107" i="13" s="1"/>
  <c r="Q107" i="13" s="1"/>
  <c r="I106" i="13"/>
  <c r="I115" i="13" s="1"/>
  <c r="M104" i="13"/>
  <c r="G104" i="13"/>
  <c r="I103" i="13"/>
  <c r="K103" i="13" s="1"/>
  <c r="O103" i="13" s="1"/>
  <c r="Q103" i="13" s="1"/>
  <c r="I102" i="13"/>
  <c r="K102" i="13" s="1"/>
  <c r="O102" i="13" s="1"/>
  <c r="Q102" i="13" s="1"/>
  <c r="I101" i="13"/>
  <c r="K101" i="13" s="1"/>
  <c r="O101" i="13" s="1"/>
  <c r="Q101" i="13" s="1"/>
  <c r="I100" i="13"/>
  <c r="K100" i="13" s="1"/>
  <c r="O100" i="13" s="1"/>
  <c r="Q100" i="13" s="1"/>
  <c r="I99" i="13"/>
  <c r="K99" i="13" s="1"/>
  <c r="O99" i="13" s="1"/>
  <c r="Q99" i="13" s="1"/>
  <c r="I98" i="13"/>
  <c r="K98" i="13" s="1"/>
  <c r="O98" i="13" s="1"/>
  <c r="Q98" i="13" s="1"/>
  <c r="I97" i="13"/>
  <c r="I104" i="13" s="1"/>
  <c r="M95" i="13"/>
  <c r="G95" i="13"/>
  <c r="I94" i="13"/>
  <c r="K94" i="13" s="1"/>
  <c r="O94" i="13" s="1"/>
  <c r="Q94" i="13" s="1"/>
  <c r="I93" i="13"/>
  <c r="I95" i="13" s="1"/>
  <c r="M91" i="13"/>
  <c r="G91" i="13"/>
  <c r="I90" i="13"/>
  <c r="K90" i="13" s="1"/>
  <c r="O90" i="13" s="1"/>
  <c r="Q90" i="13" s="1"/>
  <c r="I89" i="13"/>
  <c r="K89" i="13" s="1"/>
  <c r="O89" i="13" s="1"/>
  <c r="Q89" i="13" s="1"/>
  <c r="I88" i="13"/>
  <c r="K88" i="13" s="1"/>
  <c r="O88" i="13" s="1"/>
  <c r="Q88" i="13" s="1"/>
  <c r="I87" i="13"/>
  <c r="K87" i="13" s="1"/>
  <c r="O87" i="13" s="1"/>
  <c r="Q87" i="13" s="1"/>
  <c r="I86" i="13"/>
  <c r="I91" i="13" s="1"/>
  <c r="M84" i="13"/>
  <c r="G84" i="13"/>
  <c r="I83" i="13"/>
  <c r="K83" i="13" s="1"/>
  <c r="O83" i="13" s="1"/>
  <c r="Q83" i="13" s="1"/>
  <c r="I82" i="13"/>
  <c r="K82" i="13" s="1"/>
  <c r="O82" i="13" s="1"/>
  <c r="Q82" i="13" s="1"/>
  <c r="I81" i="13"/>
  <c r="K81" i="13" s="1"/>
  <c r="O81" i="13" s="1"/>
  <c r="Q81" i="13" s="1"/>
  <c r="O80" i="13"/>
  <c r="Q80" i="13" s="1"/>
  <c r="K80" i="13"/>
  <c r="K79" i="13"/>
  <c r="O79" i="13" s="1"/>
  <c r="I79" i="13"/>
  <c r="I84" i="13" s="1"/>
  <c r="M77" i="13"/>
  <c r="G77" i="13"/>
  <c r="K76" i="13"/>
  <c r="O76" i="13" s="1"/>
  <c r="I75" i="13"/>
  <c r="K75" i="13" s="1"/>
  <c r="O75" i="13" s="1"/>
  <c r="Q75" i="13" s="1"/>
  <c r="I74" i="13"/>
  <c r="K74" i="13" s="1"/>
  <c r="O74" i="13" s="1"/>
  <c r="Q74" i="13" s="1"/>
  <c r="I73" i="13"/>
  <c r="K73" i="13" s="1"/>
  <c r="O73" i="13" s="1"/>
  <c r="Q73" i="13" s="1"/>
  <c r="I72" i="13"/>
  <c r="K72" i="13" s="1"/>
  <c r="O72" i="13" s="1"/>
  <c r="Q72" i="13" s="1"/>
  <c r="I71" i="13"/>
  <c r="K71" i="13" s="1"/>
  <c r="O71" i="13" s="1"/>
  <c r="Q71" i="13" s="1"/>
  <c r="I70" i="13"/>
  <c r="K70" i="13" s="1"/>
  <c r="O70" i="13" s="1"/>
  <c r="Q70" i="13" s="1"/>
  <c r="I69" i="13"/>
  <c r="K69" i="13" s="1"/>
  <c r="O69" i="13" s="1"/>
  <c r="Q69" i="13" s="1"/>
  <c r="I68" i="13"/>
  <c r="K68" i="13" s="1"/>
  <c r="O68" i="13" s="1"/>
  <c r="Q68" i="13" s="1"/>
  <c r="I67" i="13"/>
  <c r="K67" i="13" s="1"/>
  <c r="O67" i="13" s="1"/>
  <c r="Q67" i="13" s="1"/>
  <c r="I66" i="13"/>
  <c r="K66" i="13" s="1"/>
  <c r="O66" i="13" s="1"/>
  <c r="Q66" i="13" s="1"/>
  <c r="I65" i="13"/>
  <c r="K65" i="13" s="1"/>
  <c r="O65" i="13" s="1"/>
  <c r="I64" i="13"/>
  <c r="K64" i="13" s="1"/>
  <c r="O64" i="13" s="1"/>
  <c r="Q64" i="13" s="1"/>
  <c r="I63" i="13"/>
  <c r="K63" i="13" s="1"/>
  <c r="O63" i="13" s="1"/>
  <c r="I62" i="13"/>
  <c r="K62" i="13" s="1"/>
  <c r="O62" i="13" s="1"/>
  <c r="I61" i="13"/>
  <c r="K61" i="13" s="1"/>
  <c r="O61" i="13" s="1"/>
  <c r="I60" i="13"/>
  <c r="K60" i="13" s="1"/>
  <c r="M58" i="13"/>
  <c r="G58" i="13"/>
  <c r="K57" i="13"/>
  <c r="O57" i="13" s="1"/>
  <c r="M55" i="13"/>
  <c r="K55" i="13"/>
  <c r="I55" i="13"/>
  <c r="G55" i="13"/>
  <c r="O54" i="13"/>
  <c r="Q54" i="13" s="1"/>
  <c r="Q55" i="13" s="1"/>
  <c r="K54" i="13"/>
  <c r="M51" i="13"/>
  <c r="I50" i="13"/>
  <c r="K50" i="13" s="1"/>
  <c r="O50" i="13" s="1"/>
  <c r="M48" i="13"/>
  <c r="G48" i="13"/>
  <c r="G119" i="13" s="1"/>
  <c r="I47" i="13"/>
  <c r="K47" i="13" s="1"/>
  <c r="O47" i="13" s="1"/>
  <c r="Q47" i="13" s="1"/>
  <c r="I46" i="13"/>
  <c r="K46" i="13" s="1"/>
  <c r="O46" i="13" s="1"/>
  <c r="Q46" i="13" s="1"/>
  <c r="I45" i="13"/>
  <c r="K45" i="13" s="1"/>
  <c r="O45" i="13" s="1"/>
  <c r="Q45" i="13" s="1"/>
  <c r="I44" i="13"/>
  <c r="K44" i="13" s="1"/>
  <c r="O44" i="13" s="1"/>
  <c r="Q44" i="13" s="1"/>
  <c r="I43" i="13"/>
  <c r="K43" i="13" s="1"/>
  <c r="O43" i="13" s="1"/>
  <c r="Q43" i="13" s="1"/>
  <c r="I42" i="13"/>
  <c r="K42" i="13" s="1"/>
  <c r="O42" i="13" s="1"/>
  <c r="Q42" i="13" s="1"/>
  <c r="I41" i="13"/>
  <c r="K41" i="13" s="1"/>
  <c r="O41" i="13" s="1"/>
  <c r="Q41" i="13" s="1"/>
  <c r="I40" i="13"/>
  <c r="K40" i="13" s="1"/>
  <c r="O40" i="13" s="1"/>
  <c r="Q40" i="13" s="1"/>
  <c r="I39" i="13"/>
  <c r="K39" i="13" s="1"/>
  <c r="O39" i="13" s="1"/>
  <c r="Q39" i="13" s="1"/>
  <c r="I38" i="13"/>
  <c r="K38" i="13" s="1"/>
  <c r="O38" i="13" s="1"/>
  <c r="Q38" i="13" s="1"/>
  <c r="I37" i="13"/>
  <c r="K37" i="13" s="1"/>
  <c r="O37" i="13" s="1"/>
  <c r="Q37" i="13" s="1"/>
  <c r="I36" i="13"/>
  <c r="K36" i="13" s="1"/>
  <c r="O36" i="13" s="1"/>
  <c r="Q36" i="13" s="1"/>
  <c r="I35" i="13"/>
  <c r="K35" i="13" s="1"/>
  <c r="O35" i="13" s="1"/>
  <c r="Q35" i="13" s="1"/>
  <c r="I34" i="13"/>
  <c r="K34" i="13" s="1"/>
  <c r="O34" i="13" s="1"/>
  <c r="I33" i="13"/>
  <c r="K33" i="13" s="1"/>
  <c r="O33" i="13" s="1"/>
  <c r="I32" i="13"/>
  <c r="K32" i="13" s="1"/>
  <c r="O32" i="13" s="1"/>
  <c r="I31" i="13"/>
  <c r="K31" i="13" s="1"/>
  <c r="O31" i="13" s="1"/>
  <c r="I30" i="13"/>
  <c r="K30" i="13" s="1"/>
  <c r="O30" i="13" s="1"/>
  <c r="Q30" i="13" s="1"/>
  <c r="I29" i="13"/>
  <c r="I48" i="13" s="1"/>
  <c r="M24" i="13"/>
  <c r="G24" i="13"/>
  <c r="O23" i="13"/>
  <c r="Q23" i="13" s="1"/>
  <c r="K23" i="13"/>
  <c r="K22" i="13"/>
  <c r="O22" i="13" s="1"/>
  <c r="Q22" i="13" s="1"/>
  <c r="O21" i="13"/>
  <c r="Q21" i="13" s="1"/>
  <c r="K21" i="13"/>
  <c r="K20" i="13"/>
  <c r="O20" i="13" s="1"/>
  <c r="Q20" i="13" s="1"/>
  <c r="I20" i="13"/>
  <c r="K19" i="13"/>
  <c r="O19" i="13" s="1"/>
  <c r="Q19" i="13" s="1"/>
  <c r="I19" i="13"/>
  <c r="K18" i="13"/>
  <c r="O18" i="13" s="1"/>
  <c r="I18" i="13"/>
  <c r="I24" i="13" s="1"/>
  <c r="M16" i="13"/>
  <c r="G16" i="13"/>
  <c r="G25" i="13" s="1"/>
  <c r="G26" i="13" s="1"/>
  <c r="G120" i="13" s="1"/>
  <c r="G127" i="13" s="1"/>
  <c r="O15" i="13"/>
  <c r="Q15" i="13" s="1"/>
  <c r="K15" i="13"/>
  <c r="K14" i="13"/>
  <c r="O14" i="13" s="1"/>
  <c r="Q14" i="13" s="1"/>
  <c r="O13" i="13"/>
  <c r="Q13" i="13" s="1"/>
  <c r="K13" i="13"/>
  <c r="K12" i="13"/>
  <c r="K16" i="13" s="1"/>
  <c r="I12" i="13"/>
  <c r="M10" i="13"/>
  <c r="M25" i="13" s="1"/>
  <c r="M26" i="13" s="1"/>
  <c r="I10" i="13"/>
  <c r="I25" i="13" s="1"/>
  <c r="I26" i="13" s="1"/>
  <c r="G10" i="13"/>
  <c r="K9" i="13"/>
  <c r="O9" i="13" s="1"/>
  <c r="Q9" i="13" s="1"/>
  <c r="O8" i="13"/>
  <c r="Q8" i="13" s="1"/>
  <c r="K8" i="13"/>
  <c r="K7" i="13"/>
  <c r="O7" i="13" s="1"/>
  <c r="Q7" i="13" s="1"/>
  <c r="I7" i="13"/>
  <c r="K6" i="13"/>
  <c r="O6" i="13" s="1"/>
  <c r="Q6" i="13" s="1"/>
  <c r="I6" i="13"/>
  <c r="K5" i="13"/>
  <c r="K10" i="13" s="1"/>
  <c r="K77" i="13" l="1"/>
  <c r="O60" i="13"/>
  <c r="Q18" i="13"/>
  <c r="Q24" i="13" s="1"/>
  <c r="O24" i="13"/>
  <c r="O51" i="13"/>
  <c r="Q50" i="13"/>
  <c r="Q51" i="13" s="1"/>
  <c r="O58" i="13"/>
  <c r="Q57" i="13"/>
  <c r="Q58" i="13" s="1"/>
  <c r="K24" i="13"/>
  <c r="K25" i="13" s="1"/>
  <c r="K26" i="13" s="1"/>
  <c r="O55" i="13"/>
  <c r="K58" i="13"/>
  <c r="I77" i="13"/>
  <c r="I119" i="13" s="1"/>
  <c r="I120" i="13" s="1"/>
  <c r="I127" i="13" s="1"/>
  <c r="O118" i="13"/>
  <c r="Q117" i="13"/>
  <c r="Q118" i="13" s="1"/>
  <c r="O5" i="13"/>
  <c r="O12" i="13"/>
  <c r="K29" i="13"/>
  <c r="M119" i="13"/>
  <c r="M120" i="13" s="1"/>
  <c r="M127" i="13" s="1"/>
  <c r="O84" i="13"/>
  <c r="Q79" i="13"/>
  <c r="Q84" i="13" s="1"/>
  <c r="K84" i="13"/>
  <c r="O123" i="13"/>
  <c r="K86" i="13"/>
  <c r="K93" i="13"/>
  <c r="K97" i="13"/>
  <c r="K106" i="13"/>
  <c r="O77" i="13" l="1"/>
  <c r="K115" i="13"/>
  <c r="O106" i="13"/>
  <c r="K95" i="13"/>
  <c r="O93" i="13"/>
  <c r="Q123" i="13"/>
  <c r="Q125" i="13" s="1"/>
  <c r="Q126" i="13" s="1"/>
  <c r="O125" i="13"/>
  <c r="O126" i="13" s="1"/>
  <c r="O16" i="13"/>
  <c r="Q12" i="13"/>
  <c r="Q16" i="13" s="1"/>
  <c r="K104" i="13"/>
  <c r="O97" i="13"/>
  <c r="K91" i="13"/>
  <c r="O86" i="13"/>
  <c r="K48" i="13"/>
  <c r="K119" i="13" s="1"/>
  <c r="K120" i="13" s="1"/>
  <c r="K127" i="13" s="1"/>
  <c r="O29" i="13"/>
  <c r="O10" i="13"/>
  <c r="O25" i="13" s="1"/>
  <c r="O26" i="13" s="1"/>
  <c r="Q5" i="13"/>
  <c r="Q10" i="13" s="1"/>
  <c r="Q25" i="13" s="1"/>
  <c r="Q26" i="13" s="1"/>
  <c r="O48" i="13" l="1"/>
  <c r="Q86" i="13"/>
  <c r="Q91" i="13" s="1"/>
  <c r="O91" i="13"/>
  <c r="Q97" i="13"/>
  <c r="Q104" i="13" s="1"/>
  <c r="O104" i="13"/>
  <c r="Q93" i="13"/>
  <c r="Q95" i="13" s="1"/>
  <c r="O95" i="13"/>
  <c r="O115" i="13"/>
  <c r="O119" i="13" l="1"/>
  <c r="O120" i="13" s="1"/>
  <c r="O127" i="13" s="1"/>
  <c r="C23" i="4" l="1"/>
  <c r="L14" i="5" l="1"/>
  <c r="L13" i="5" l="1"/>
  <c r="L23" i="5"/>
  <c r="C128" i="4" l="1"/>
  <c r="C122" i="4"/>
  <c r="C108" i="4"/>
  <c r="C99" i="4"/>
  <c r="C95" i="4"/>
  <c r="C91" i="4"/>
  <c r="C83" i="4"/>
  <c r="C64" i="4"/>
  <c r="C59" i="4"/>
  <c r="C54" i="4"/>
  <c r="C50" i="4"/>
  <c r="C119" i="4"/>
  <c r="D117" i="4"/>
  <c r="D35" i="4"/>
  <c r="D36" i="4"/>
  <c r="D37" i="4"/>
  <c r="D38" i="4"/>
  <c r="D18" i="4"/>
  <c r="D20" i="4"/>
  <c r="C124" i="4" l="1"/>
  <c r="C136" i="4" s="1"/>
  <c r="L22" i="5"/>
  <c r="C22" i="5" l="1"/>
  <c r="C21" i="5"/>
  <c r="C17" i="5"/>
  <c r="C26" i="5" l="1"/>
  <c r="K32" i="5"/>
  <c r="J32" i="5"/>
  <c r="E32" i="5"/>
  <c r="F32" i="5"/>
  <c r="G32" i="5"/>
  <c r="C32" i="5"/>
  <c r="D30" i="5" l="1"/>
  <c r="D32" i="5" s="1"/>
  <c r="H32" i="5" l="1"/>
  <c r="L31" i="5"/>
  <c r="D112" i="4"/>
  <c r="D116" i="4"/>
  <c r="C137" i="4"/>
  <c r="E132" i="4"/>
  <c r="C132" i="4"/>
  <c r="C135" i="4" s="1"/>
  <c r="D131" i="4"/>
  <c r="D132" i="4" s="1"/>
  <c r="E111" i="4" l="1"/>
  <c r="Q106" i="13"/>
  <c r="L30" i="5"/>
  <c r="L32" i="5" s="1"/>
  <c r="C138" i="4"/>
  <c r="E114" i="4" l="1"/>
  <c r="D114" i="4" s="1"/>
  <c r="E113" i="4"/>
  <c r="E119" i="4" s="1"/>
  <c r="Q109" i="13"/>
  <c r="Q108" i="13"/>
  <c r="Q115" i="13" l="1"/>
  <c r="D90" i="4"/>
  <c r="E12" i="4"/>
  <c r="E23" i="4" s="1"/>
  <c r="D29" i="4"/>
  <c r="E135" i="4" l="1"/>
  <c r="D47" i="4"/>
  <c r="D10" i="4"/>
  <c r="E137" i="4" l="1"/>
  <c r="D82" i="4" l="1"/>
  <c r="D48" i="4" l="1"/>
  <c r="E62" i="4" l="1"/>
  <c r="D81" i="4"/>
  <c r="K26" i="5"/>
  <c r="K19" i="5"/>
  <c r="J26" i="5"/>
  <c r="J19" i="5"/>
  <c r="G26" i="5"/>
  <c r="F26" i="5"/>
  <c r="F19" i="5"/>
  <c r="E19" i="5"/>
  <c r="D33" i="5"/>
  <c r="L9" i="5"/>
  <c r="E69" i="4" l="1"/>
  <c r="Q63" i="13"/>
  <c r="E31" i="4"/>
  <c r="D31" i="4" s="1"/>
  <c r="Q33" i="13"/>
  <c r="J34" i="5"/>
  <c r="K34" i="5"/>
  <c r="E34" i="5"/>
  <c r="G34" i="5"/>
  <c r="F34" i="5"/>
  <c r="L21" i="5"/>
  <c r="D113" i="4" l="1"/>
  <c r="D115" i="4"/>
  <c r="D118" i="4"/>
  <c r="D103" i="4"/>
  <c r="D104" i="4"/>
  <c r="D105" i="4"/>
  <c r="D106" i="4"/>
  <c r="D107" i="4"/>
  <c r="D87" i="4"/>
  <c r="D88" i="4"/>
  <c r="D89" i="4"/>
  <c r="D72" i="4"/>
  <c r="D73" i="4"/>
  <c r="D74" i="4"/>
  <c r="D75" i="4"/>
  <c r="D78" i="4"/>
  <c r="D69" i="4"/>
  <c r="D58" i="4"/>
  <c r="D57" i="4"/>
  <c r="D59" i="4" l="1"/>
  <c r="E95" i="4"/>
  <c r="D94" i="4"/>
  <c r="D95" i="4" s="1"/>
  <c r="E99" i="4"/>
  <c r="D98" i="4"/>
  <c r="D99" i="4" s="1"/>
  <c r="E108" i="4"/>
  <c r="D102" i="4"/>
  <c r="D108" i="4" s="1"/>
  <c r="D111" i="4"/>
  <c r="D119" i="4" s="1"/>
  <c r="E122" i="4"/>
  <c r="D121" i="4"/>
  <c r="D122" i="4" s="1"/>
  <c r="E91" i="4"/>
  <c r="D86" i="4"/>
  <c r="D91" i="4" s="1"/>
  <c r="D11" i="4"/>
  <c r="D79" i="4"/>
  <c r="E128" i="4" l="1"/>
  <c r="D127" i="4"/>
  <c r="D128" i="4" s="1"/>
  <c r="D13" i="4" l="1"/>
  <c r="D34" i="4"/>
  <c r="D39" i="4"/>
  <c r="D40" i="4"/>
  <c r="D41" i="4"/>
  <c r="D42" i="4"/>
  <c r="D43" i="4"/>
  <c r="D44" i="4"/>
  <c r="D45" i="4"/>
  <c r="D46" i="4"/>
  <c r="D49" i="4" l="1"/>
  <c r="D77" i="4" l="1"/>
  <c r="D80" i="4"/>
  <c r="D76" i="4" l="1"/>
  <c r="D12" i="4"/>
  <c r="D23" i="4" s="1"/>
  <c r="D135" i="4" s="1"/>
  <c r="E54" i="4" l="1"/>
  <c r="D53" i="4"/>
  <c r="D54" i="4" s="1"/>
  <c r="D62" i="4"/>
  <c r="D64" i="4" s="1"/>
  <c r="D20" i="5" l="1"/>
  <c r="C34" i="5"/>
  <c r="D26" i="5" l="1"/>
  <c r="L24" i="5" l="1"/>
  <c r="L26" i="5" s="1"/>
  <c r="H26" i="5"/>
  <c r="E67" i="4" l="1"/>
  <c r="Q60" i="13"/>
  <c r="L8" i="5"/>
  <c r="E71" i="4" l="1"/>
  <c r="D71" i="4" s="1"/>
  <c r="E70" i="4"/>
  <c r="D70" i="4" s="1"/>
  <c r="E68" i="4"/>
  <c r="D68" i="4" s="1"/>
  <c r="D67" i="4"/>
  <c r="Q62" i="13"/>
  <c r="Q61" i="13"/>
  <c r="Q65" i="13"/>
  <c r="E83" i="4" l="1"/>
  <c r="D83" i="4"/>
  <c r="Q77" i="13"/>
  <c r="L10" i="5"/>
  <c r="L12" i="5"/>
  <c r="D19" i="5"/>
  <c r="D34" i="5" s="1"/>
  <c r="L11" i="5"/>
  <c r="L16" i="5"/>
  <c r="E28" i="4" l="1"/>
  <c r="Q29" i="13" l="1"/>
  <c r="L19" i="5"/>
  <c r="L34" i="5" s="1"/>
  <c r="E30" i="4"/>
  <c r="D30" i="4" s="1"/>
  <c r="H34" i="5"/>
  <c r="Q34" i="13" l="1"/>
  <c r="Q31" i="13"/>
  <c r="Q32" i="13"/>
  <c r="E33" i="4"/>
  <c r="D33" i="4" s="1"/>
  <c r="E32" i="4"/>
  <c r="D32" i="4" s="1"/>
  <c r="D28" i="4"/>
  <c r="Q48" i="13" l="1"/>
  <c r="Q119" i="13" s="1"/>
  <c r="Q120" i="13" s="1"/>
  <c r="Q127" i="13" s="1"/>
  <c r="D50" i="4"/>
  <c r="D124" i="4" s="1"/>
  <c r="D136" i="4" s="1"/>
  <c r="D138" i="4" s="1"/>
  <c r="E50" i="4"/>
  <c r="E124" i="4" s="1"/>
  <c r="E136" i="4" l="1"/>
  <c r="E138" i="4" s="1"/>
  <c r="C8" i="4"/>
</calcChain>
</file>

<file path=xl/comments1.xml><?xml version="1.0" encoding="utf-8"?>
<comments xmlns="http://schemas.openxmlformats.org/spreadsheetml/2006/main">
  <authors>
    <author>Mike Hess, CPA</author>
  </authors>
  <commentList>
    <comment ref="E34" authorId="0" shapeId="0">
      <text>
        <r>
          <rPr>
            <b/>
            <sz val="8"/>
            <color rgb="FF000000"/>
            <rFont val="Tahoma"/>
            <family val="2"/>
          </rPr>
          <t>JML
:</t>
        </r>
        <r>
          <rPr>
            <sz val="8"/>
            <color rgb="FF000000"/>
            <rFont val="Tahoma"/>
            <family val="2"/>
          </rPr>
          <t xml:space="preserve">
$4K for Valencia dual enrollment and includes books;  Edmentum courses, ESE
</t>
        </r>
      </text>
    </comment>
    <comment ref="E47" authorId="0" shapeId="0">
      <text>
        <r>
          <rPr>
            <b/>
            <sz val="8"/>
            <color rgb="FF000000"/>
            <rFont val="Tahoma"/>
            <family val="2"/>
          </rPr>
          <t>Mike Hess, CPA: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$800 Teacher/Teacher, $350 I Observe; Parent Communication software $200; Plus teacher certificates $500 (est); Credidation $1000;
</t>
        </r>
      </text>
    </comment>
    <comment ref="C80" authorId="0" shapeId="0">
      <text>
        <r>
          <rPr>
            <b/>
            <sz val="8"/>
            <color indexed="81"/>
            <rFont val="Tahoma"/>
            <family val="2"/>
          </rPr>
          <t>Mike Hess, CPA:</t>
        </r>
        <r>
          <rPr>
            <sz val="8"/>
            <color indexed="81"/>
            <rFont val="Tahoma"/>
            <family val="2"/>
          </rPr>
          <t xml:space="preserve">
Charter School Consortium
</t>
        </r>
      </text>
    </comment>
    <comment ref="E80" authorId="0" shapeId="0">
      <text>
        <r>
          <rPr>
            <b/>
            <sz val="8"/>
            <color rgb="FF000000"/>
            <rFont val="Tahoma"/>
            <family val="2"/>
          </rPr>
          <t>Mike Hess, CPA: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Charter School Consortium
</t>
        </r>
      </text>
    </comment>
  </commentList>
</comments>
</file>

<file path=xl/sharedStrings.xml><?xml version="1.0" encoding="utf-8"?>
<sst xmlns="http://schemas.openxmlformats.org/spreadsheetml/2006/main" count="324" uniqueCount="292">
  <si>
    <t>Central Florida Leadership Academy</t>
  </si>
  <si>
    <t>Support</t>
  </si>
  <si>
    <t>FEFP</t>
  </si>
  <si>
    <t>Contributions</t>
  </si>
  <si>
    <t>Total support</t>
  </si>
  <si>
    <t xml:space="preserve">Payroll instructional </t>
  </si>
  <si>
    <t>Substitutes</t>
  </si>
  <si>
    <t>Group insurance</t>
  </si>
  <si>
    <t xml:space="preserve">Futa &amp; Suta </t>
  </si>
  <si>
    <t>FICA Taxes</t>
  </si>
  <si>
    <t>Professional services</t>
  </si>
  <si>
    <t>Insurance</t>
  </si>
  <si>
    <t>Supplies</t>
  </si>
  <si>
    <t>Computer supplies</t>
  </si>
  <si>
    <t>Textbooks</t>
  </si>
  <si>
    <t>Periodicals</t>
  </si>
  <si>
    <t>Uniforms</t>
  </si>
  <si>
    <t>Non-cap software</t>
  </si>
  <si>
    <t>Depreciation</t>
  </si>
  <si>
    <t>Total instuctional</t>
  </si>
  <si>
    <t>School administration</t>
  </si>
  <si>
    <t>Payroll administrative</t>
  </si>
  <si>
    <t>Futa &amp; Suta taxes</t>
  </si>
  <si>
    <t>Professional fees</t>
  </si>
  <si>
    <t>Travel</t>
  </si>
  <si>
    <t>Postage</t>
  </si>
  <si>
    <t>Printing</t>
  </si>
  <si>
    <t>Office expense</t>
  </si>
  <si>
    <t>Dues &amp; Fees</t>
  </si>
  <si>
    <t>Seminars</t>
  </si>
  <si>
    <t>Accounting fees</t>
  </si>
  <si>
    <t>Audit fees</t>
  </si>
  <si>
    <t>Payroll processing fee</t>
  </si>
  <si>
    <t>Total administration</t>
  </si>
  <si>
    <t>Total fiscal services</t>
  </si>
  <si>
    <t>Transportation</t>
  </si>
  <si>
    <t>Student transportation</t>
  </si>
  <si>
    <t>Total transportation</t>
  </si>
  <si>
    <t>Operation of Plant</t>
  </si>
  <si>
    <t>Telephone</t>
  </si>
  <si>
    <t>Utility expense</t>
  </si>
  <si>
    <t>Total plant</t>
  </si>
  <si>
    <t>Maintenance of Plant</t>
  </si>
  <si>
    <t xml:space="preserve"> </t>
  </si>
  <si>
    <t>Repairs and maintenance</t>
  </si>
  <si>
    <t>Total maintenance of plant</t>
  </si>
  <si>
    <t>Instructional</t>
  </si>
  <si>
    <t>Seminar expense</t>
  </si>
  <si>
    <t>Fiscal / Board Services</t>
  </si>
  <si>
    <t>General  Administration</t>
  </si>
  <si>
    <t>Non-cap furniture/Equipment</t>
  </si>
  <si>
    <t>Storm water</t>
  </si>
  <si>
    <t>Instructional Media Services</t>
  </si>
  <si>
    <t>Library books</t>
  </si>
  <si>
    <t>Title II</t>
  </si>
  <si>
    <t>Instructional Staff Traning</t>
  </si>
  <si>
    <t>Non-cap FF&amp;E</t>
  </si>
  <si>
    <t>Non-cap computer hardware</t>
  </si>
  <si>
    <t>Total budget - before capital assets</t>
  </si>
  <si>
    <t>Retirement (3% of salaries)</t>
  </si>
  <si>
    <t>Food Service</t>
  </si>
  <si>
    <t>Staff training</t>
  </si>
  <si>
    <t>Workers Comp Insurance</t>
  </si>
  <si>
    <t>Student activities</t>
  </si>
  <si>
    <t>Rent</t>
  </si>
  <si>
    <t>Payroll Budget Details</t>
  </si>
  <si>
    <t>Add back depreciation expense (non cash)</t>
  </si>
  <si>
    <t>Total expense &amp; capital improvements</t>
  </si>
  <si>
    <t>Capitalized Improvements</t>
  </si>
  <si>
    <t>Total capitalized purchases</t>
  </si>
  <si>
    <t>Total revenues (repeated from above)</t>
  </si>
  <si>
    <t>SUPPORT:</t>
  </si>
  <si>
    <t>Total instructional media</t>
  </si>
  <si>
    <t>Total instructional staff training</t>
  </si>
  <si>
    <t>EXPENSES:</t>
  </si>
  <si>
    <t>Capital outlay funding</t>
  </si>
  <si>
    <t>Community Services</t>
  </si>
  <si>
    <t>Total community services</t>
  </si>
  <si>
    <t>Dues &amp; fees</t>
  </si>
  <si>
    <t>Teacher lead</t>
  </si>
  <si>
    <t>Total food service</t>
  </si>
  <si>
    <t xml:space="preserve">Instructional </t>
  </si>
  <si>
    <t>Administrative</t>
  </si>
  <si>
    <t>Guidance</t>
  </si>
  <si>
    <t>Custodian</t>
  </si>
  <si>
    <t>Report total</t>
  </si>
  <si>
    <t>Period payroll</t>
  </si>
  <si>
    <t>Annual payroll</t>
  </si>
  <si>
    <t>Health</t>
  </si>
  <si>
    <t>Staff awards</t>
  </si>
  <si>
    <t>Other income &amp; student fees</t>
  </si>
  <si>
    <t>Students</t>
  </si>
  <si>
    <t>Capital outlay</t>
  </si>
  <si>
    <t>Pay periods</t>
  </si>
  <si>
    <t>Additional earnings / Supplements</t>
  </si>
  <si>
    <t>Total payroll &amp; benefits</t>
  </si>
  <si>
    <t>Reserve for construction</t>
  </si>
  <si>
    <t>Budget</t>
  </si>
  <si>
    <t>Custodial services</t>
  </si>
  <si>
    <t>Every two weeks</t>
  </si>
  <si>
    <t>Proposed</t>
  </si>
  <si>
    <t>Change fund balance</t>
  </si>
  <si>
    <t>Safe schools</t>
  </si>
  <si>
    <t>Other income</t>
  </si>
  <si>
    <t>Local capital improvement revenue</t>
  </si>
  <si>
    <t>District admin fee</t>
  </si>
  <si>
    <t>Total district admin fee</t>
  </si>
  <si>
    <t>Safe school</t>
  </si>
  <si>
    <t>SS &amp; Medicare</t>
  </si>
  <si>
    <t>SUTA/FUTA</t>
  </si>
  <si>
    <t>Student meals</t>
  </si>
  <si>
    <t>IT services</t>
  </si>
  <si>
    <t>Advertising and Marketing</t>
  </si>
  <si>
    <t>Admin total</t>
  </si>
  <si>
    <t>Title I</t>
  </si>
  <si>
    <t>Hyde Payments</t>
  </si>
  <si>
    <t>Change</t>
  </si>
  <si>
    <t>Retirement (2% of salaries)</t>
  </si>
  <si>
    <t>Hyde Supplement</t>
  </si>
  <si>
    <t>Custodial Support</t>
  </si>
  <si>
    <t>Title IV</t>
  </si>
  <si>
    <t>New Total payroll</t>
  </si>
  <si>
    <t xml:space="preserve"> normal Bonus/Pay increase</t>
  </si>
  <si>
    <t>Property and Casualty Insurance</t>
  </si>
  <si>
    <t>Painting</t>
  </si>
  <si>
    <t>Flooring</t>
  </si>
  <si>
    <t>Reserved for construction</t>
  </si>
  <si>
    <t>Fixed asset additions (reserve)</t>
  </si>
  <si>
    <t>Communications (internet/Zoom)</t>
  </si>
  <si>
    <t>$2678 for painting and flooring thru Sept.)</t>
  </si>
  <si>
    <t>Safe Schools Grant</t>
  </si>
  <si>
    <t>Principal</t>
  </si>
  <si>
    <t>BUDGET FY2022</t>
  </si>
  <si>
    <t>Transfer from prior years' surplus</t>
  </si>
  <si>
    <t>Jul '21 - Feb 22</t>
  </si>
  <si>
    <t>Total Estimated for Actual FY 21-22</t>
  </si>
  <si>
    <t>FY 21-22 Board Approved Budget</t>
  </si>
  <si>
    <t>Proposed FY 20-21 Changes to Project FY 21-22</t>
  </si>
  <si>
    <t>Proposed FY 22-23 Budget</t>
  </si>
  <si>
    <t>Ordinary Income/Expense</t>
  </si>
  <si>
    <t>Income</t>
  </si>
  <si>
    <t>Federal Funds</t>
  </si>
  <si>
    <t>3225 · Title 2</t>
  </si>
  <si>
    <t>3240 · Title 1</t>
  </si>
  <si>
    <t>3260 · NSLP</t>
  </si>
  <si>
    <t>3271 · ESSER</t>
  </si>
  <si>
    <t>3272 · ECF Emergency Conn. Grant</t>
  </si>
  <si>
    <t>Total Federal Funds</t>
  </si>
  <si>
    <t>State Sources</t>
  </si>
  <si>
    <t>3395 · SAFE Grant</t>
  </si>
  <si>
    <t>3310 · FEFP</t>
  </si>
  <si>
    <t>3334 · Teacher Lead</t>
  </si>
  <si>
    <t>3354 · Student Transportation</t>
  </si>
  <si>
    <t>Total State Sources</t>
  </si>
  <si>
    <t>Local Funds</t>
  </si>
  <si>
    <t>3410 · Other income</t>
  </si>
  <si>
    <t>3412 · CARES</t>
  </si>
  <si>
    <t>3431 · Interest Income</t>
  </si>
  <si>
    <t>3440 · Contributions</t>
  </si>
  <si>
    <t>3479 · Other Student Fees</t>
  </si>
  <si>
    <t>3640 · Transfers from Special Revenue</t>
  </si>
  <si>
    <t>Total Local Funds</t>
  </si>
  <si>
    <t>Total Income</t>
  </si>
  <si>
    <t>Gross Profit</t>
  </si>
  <si>
    <t>Expense</t>
  </si>
  <si>
    <t>120-510 · Classroom teachers salaries</t>
  </si>
  <si>
    <t>140-510 · Substitute teachers</t>
  </si>
  <si>
    <t>210-510 · Retirement</t>
  </si>
  <si>
    <t>220-510 · Taxes FICA</t>
  </si>
  <si>
    <t>230-510 · Group Insurance</t>
  </si>
  <si>
    <t>250-510 · Taxes Futa &amp; Suta</t>
  </si>
  <si>
    <t>121-510 · Staff Awards</t>
  </si>
  <si>
    <t>310-510 · Professional &amp; Technical Servic</t>
  </si>
  <si>
    <t>361-510 · Safe School Services</t>
  </si>
  <si>
    <t>510-510 · Supplies</t>
  </si>
  <si>
    <t>512-510 · Computer Supplies</t>
  </si>
  <si>
    <t>520-510 · Textbooks</t>
  </si>
  <si>
    <t>594-510 · Student Activities</t>
  </si>
  <si>
    <t>642-510 · Noncap Furniture Fixture &amp; Equi</t>
  </si>
  <si>
    <t>644-510 · Noncapitalized Computer Hardwar</t>
  </si>
  <si>
    <t>690-510 · Noncap Computer Software</t>
  </si>
  <si>
    <t>730-510 · Dues &amp; Fees</t>
  </si>
  <si>
    <t>731-510 · Seminar Expense</t>
  </si>
  <si>
    <t>780-510 · Depreciation Expense</t>
  </si>
  <si>
    <t>Total Instructional</t>
  </si>
  <si>
    <t>Instr Media Services</t>
  </si>
  <si>
    <t>610-620 · Library Books</t>
  </si>
  <si>
    <t>Total Instr Media Services</t>
  </si>
  <si>
    <t>Instr Staff Training</t>
  </si>
  <si>
    <t>330-640 · Travel</t>
  </si>
  <si>
    <t>731-640 · Staff Training</t>
  </si>
  <si>
    <t>Total Instr Staff Training</t>
  </si>
  <si>
    <t>Board</t>
  </si>
  <si>
    <t>310-710 · Professional &amp; Technical Servic</t>
  </si>
  <si>
    <t>Total Board</t>
  </si>
  <si>
    <t>110-730 · Salaries</t>
  </si>
  <si>
    <t>210-730 · Retirement</t>
  </si>
  <si>
    <t>220-730 · Taxes FICA</t>
  </si>
  <si>
    <t>230-730 · Group Insurance</t>
  </si>
  <si>
    <t>240-730 · Workers Comp Insurance</t>
  </si>
  <si>
    <t>250-730 · Taxes Futa &amp; Suta</t>
  </si>
  <si>
    <t>330-730 · Travel</t>
  </si>
  <si>
    <t>350-730 · Repair &amp; Maintenance</t>
  </si>
  <si>
    <t>370-730 · Postage</t>
  </si>
  <si>
    <t>391-730 · Printing Services</t>
  </si>
  <si>
    <t>393-730 · Marketing</t>
  </si>
  <si>
    <t>510-730 · Supplies</t>
  </si>
  <si>
    <t>642-730 · Noncap Furniture Fixture &amp; Equi</t>
  </si>
  <si>
    <t>730-730 · Dues &amp; Fees</t>
  </si>
  <si>
    <t>731-730 · Seminar Expense</t>
  </si>
  <si>
    <t>780-730 · Depreciation Expense</t>
  </si>
  <si>
    <t>790-730 · County Admin Fee</t>
  </si>
  <si>
    <t>Total Administrative</t>
  </si>
  <si>
    <t>Fiscal Services</t>
  </si>
  <si>
    <t>310-750 · Professional &amp; Technical Servic</t>
  </si>
  <si>
    <t>311-750 · Audit Fees</t>
  </si>
  <si>
    <t>313-750 · Accounting Fees</t>
  </si>
  <si>
    <t>317-750 · Payroll Processing Fee</t>
  </si>
  <si>
    <t>320-750 · Insurance &amp; Bond Premiums</t>
  </si>
  <si>
    <t>Total Fiscal Services</t>
  </si>
  <si>
    <t>Food Services</t>
  </si>
  <si>
    <t>730-760 · Dues and Fees</t>
  </si>
  <si>
    <t>160-760 · Cafeteria Wages</t>
  </si>
  <si>
    <t>220-760 · SS &amp; Med</t>
  </si>
  <si>
    <t>510-760 · Supplies</t>
  </si>
  <si>
    <t>511-760 · Meals</t>
  </si>
  <si>
    <t>Total Food Services</t>
  </si>
  <si>
    <t>Student Transportation</t>
  </si>
  <si>
    <t>350-780 · Repairs and Maintenance</t>
  </si>
  <si>
    <t>390-780 · Other Purchased Services</t>
  </si>
  <si>
    <t>Total Student Transportation</t>
  </si>
  <si>
    <t>360-790 · Rent</t>
  </si>
  <si>
    <t>361-790 · Safe school services</t>
  </si>
  <si>
    <t>379-790 · Teleph. &amp; Other Data Comm. Serv</t>
  </si>
  <si>
    <t>381-790 · Public Utilites - Storm Water</t>
  </si>
  <si>
    <t>399-790 · Other Tech. Related Purch. Serv</t>
  </si>
  <si>
    <t>430-790 · Electricity</t>
  </si>
  <si>
    <t>780-790 · Depreciation Expense</t>
  </si>
  <si>
    <t>Total Operation of Plant</t>
  </si>
  <si>
    <t>120-810 · Custodian Wages</t>
  </si>
  <si>
    <t>160-810 · IT Wages</t>
  </si>
  <si>
    <t>220-810 · SS &amp; MED</t>
  </si>
  <si>
    <t>250-810 · FUTA &amp; SUTA</t>
  </si>
  <si>
    <t>315-810 · IT Services</t>
  </si>
  <si>
    <t>350-810 · Repair &amp; Maintenance</t>
  </si>
  <si>
    <t>361-810 · Safe School Services</t>
  </si>
  <si>
    <t>390-810 · Custodial services</t>
  </si>
  <si>
    <t>510-810 · Supplies</t>
  </si>
  <si>
    <t>Total Maintenance of Plant</t>
  </si>
  <si>
    <t>390-910 · Other Purchased Services</t>
  </si>
  <si>
    <t>Total Community Services</t>
  </si>
  <si>
    <t>Total Expense</t>
  </si>
  <si>
    <t>Net Ordinary Income</t>
  </si>
  <si>
    <t>Other Income/Expense</t>
  </si>
  <si>
    <t>Other Income</t>
  </si>
  <si>
    <t>3340 · Capital Outlay Funds</t>
  </si>
  <si>
    <t>3413 · Restricted LCIR Funds</t>
  </si>
  <si>
    <t>Total Other Income</t>
  </si>
  <si>
    <t>Net Other Income</t>
  </si>
  <si>
    <t>Net Income</t>
  </si>
  <si>
    <t>Computers</t>
  </si>
  <si>
    <t>Summer tutoring:</t>
  </si>
  <si>
    <t>Student support services</t>
  </si>
  <si>
    <t>Benefits, etc.</t>
  </si>
  <si>
    <t>Software</t>
  </si>
  <si>
    <t>IT</t>
  </si>
  <si>
    <t>AP</t>
  </si>
  <si>
    <t>Shelley Earnest</t>
  </si>
  <si>
    <t>Heidi Beck</t>
  </si>
  <si>
    <t>Additional assistance</t>
  </si>
  <si>
    <t>Other purchased services</t>
  </si>
  <si>
    <t>Sanitization</t>
  </si>
  <si>
    <t>Art Class</t>
  </si>
  <si>
    <t>After School/ Summer Programs</t>
  </si>
  <si>
    <t xml:space="preserve"> Lisa Phillip</t>
  </si>
  <si>
    <t xml:space="preserve">B&amp;A school tutoring: </t>
  </si>
  <si>
    <t>School Guardian/Dean</t>
  </si>
  <si>
    <t xml:space="preserve"> Teacher Lead</t>
  </si>
  <si>
    <t xml:space="preserve"> Cognia</t>
  </si>
  <si>
    <t>Dakota Ruiz</t>
  </si>
  <si>
    <t>Sarah Doran PT</t>
  </si>
  <si>
    <t>O'Malley/Earnest</t>
  </si>
  <si>
    <t>District mental health fee</t>
  </si>
  <si>
    <t>Coaching/tutoring/incentive supplements</t>
  </si>
  <si>
    <t>Capital Outlay Funding, est. 69000 (rent, insurance, painting, floors, construction, some IT)</t>
  </si>
  <si>
    <t>FY2025-26</t>
  </si>
  <si>
    <t>BUDGET FY2025</t>
  </si>
  <si>
    <t>Coach</t>
  </si>
  <si>
    <t>Sylvester Jones</t>
  </si>
  <si>
    <t>Kedwin Diaz</t>
  </si>
  <si>
    <t>Danielle France</t>
  </si>
  <si>
    <t>Dual Enrollment/Early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</si>
</sst>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b/>
      <sz val="8"/>
      <color rgb="FF323232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38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3" fillId="2" borderId="0" xfId="1" applyNumberFormat="1" applyFont="1" applyFill="1"/>
    <xf numFmtId="164" fontId="3" fillId="3" borderId="0" xfId="1" applyNumberFormat="1" applyFont="1" applyFill="1"/>
    <xf numFmtId="43" fontId="7" fillId="0" borderId="0" xfId="1" applyFont="1"/>
    <xf numFmtId="43" fontId="7" fillId="0" borderId="0" xfId="0" applyNumberFormat="1" applyFont="1"/>
    <xf numFmtId="164" fontId="8" fillId="0" borderId="0" xfId="1" applyNumberFormat="1" applyFont="1"/>
    <xf numFmtId="164" fontId="8" fillId="0" borderId="0" xfId="1" applyNumberFormat="1" applyFont="1" applyAlignment="1">
      <alignment horizontal="center" wrapText="1"/>
    </xf>
    <xf numFmtId="164" fontId="8" fillId="0" borderId="1" xfId="1" applyNumberFormat="1" applyFont="1" applyBorder="1"/>
    <xf numFmtId="0" fontId="7" fillId="0" borderId="0" xfId="0" applyFont="1"/>
    <xf numFmtId="44" fontId="7" fillId="0" borderId="0" xfId="2" applyFont="1"/>
    <xf numFmtId="43" fontId="7" fillId="0" borderId="1" xfId="0" applyNumberFormat="1" applyFont="1" applyBorder="1"/>
    <xf numFmtId="43" fontId="7" fillId="0" borderId="1" xfId="1" applyFont="1" applyBorder="1"/>
    <xf numFmtId="0" fontId="7" fillId="0" borderId="1" xfId="0" applyFont="1" applyBorder="1"/>
    <xf numFmtId="2" fontId="7" fillId="0" borderId="0" xfId="0" applyNumberFormat="1" applyFont="1"/>
    <xf numFmtId="164" fontId="9" fillId="0" borderId="0" xfId="1" applyNumberFormat="1" applyFont="1" applyAlignment="1">
      <alignment horizontal="left"/>
    </xf>
    <xf numFmtId="164" fontId="9" fillId="0" borderId="0" xfId="1" applyNumberFormat="1" applyFont="1"/>
    <xf numFmtId="166" fontId="9" fillId="0" borderId="0" xfId="1" applyNumberFormat="1" applyFont="1" applyAlignment="1">
      <alignment horizontal="left"/>
    </xf>
    <xf numFmtId="164" fontId="8" fillId="0" borderId="0" xfId="1" applyNumberFormat="1" applyFont="1" applyFill="1" applyBorder="1"/>
    <xf numFmtId="164" fontId="8" fillId="0" borderId="1" xfId="1" applyNumberFormat="1" applyFont="1" applyBorder="1" applyAlignment="1">
      <alignment horizontal="center"/>
    </xf>
    <xf numFmtId="9" fontId="8" fillId="0" borderId="1" xfId="3" applyFont="1" applyFill="1" applyBorder="1" applyAlignment="1">
      <alignment horizontal="center" wrapText="1"/>
    </xf>
    <xf numFmtId="164" fontId="8" fillId="0" borderId="1" xfId="1" applyNumberFormat="1" applyFont="1" applyBorder="1" applyAlignment="1">
      <alignment horizontal="center" wrapText="1"/>
    </xf>
    <xf numFmtId="0" fontId="10" fillId="0" borderId="0" xfId="4" applyNumberFormat="1" applyFont="1" applyBorder="1"/>
    <xf numFmtId="43" fontId="11" fillId="0" borderId="0" xfId="4" applyFont="1"/>
    <xf numFmtId="44" fontId="11" fillId="0" borderId="0" xfId="2" applyFont="1"/>
    <xf numFmtId="43" fontId="11" fillId="0" borderId="0" xfId="4" applyFont="1" applyFill="1"/>
    <xf numFmtId="43" fontId="11" fillId="0" borderId="1" xfId="4" applyFont="1" applyBorder="1"/>
    <xf numFmtId="43" fontId="12" fillId="0" borderId="0" xfId="4" applyFont="1"/>
    <xf numFmtId="43" fontId="13" fillId="0" borderId="0" xfId="4" applyFont="1"/>
    <xf numFmtId="39" fontId="8" fillId="0" borderId="0" xfId="1" applyNumberFormat="1" applyFont="1" applyAlignment="1">
      <alignment horizontal="right"/>
    </xf>
    <xf numFmtId="39" fontId="8" fillId="0" borderId="0" xfId="1" applyNumberFormat="1" applyFont="1"/>
    <xf numFmtId="164" fontId="9" fillId="0" borderId="0" xfId="1" applyNumberFormat="1" applyFont="1" applyBorder="1"/>
    <xf numFmtId="164" fontId="15" fillId="0" borderId="0" xfId="1" applyNumberFormat="1" applyFont="1"/>
    <xf numFmtId="164" fontId="16" fillId="0" borderId="0" xfId="1" applyNumberFormat="1" applyFont="1"/>
    <xf numFmtId="164" fontId="16" fillId="0" borderId="0" xfId="1" applyNumberFormat="1" applyFont="1" applyAlignment="1">
      <alignment horizontal="center"/>
    </xf>
    <xf numFmtId="164" fontId="15" fillId="0" borderId="0" xfId="1" applyNumberFormat="1" applyFont="1" applyBorder="1"/>
    <xf numFmtId="164" fontId="16" fillId="0" borderId="1" xfId="1" applyNumberFormat="1" applyFont="1" applyBorder="1"/>
    <xf numFmtId="164" fontId="9" fillId="0" borderId="0" xfId="1" applyNumberFormat="1" applyFont="1" applyFill="1"/>
    <xf numFmtId="165" fontId="9" fillId="0" borderId="2" xfId="2" applyNumberFormat="1" applyFont="1" applyBorder="1"/>
    <xf numFmtId="164" fontId="9" fillId="2" borderId="0" xfId="1" applyNumberFormat="1" applyFont="1" applyFill="1"/>
    <xf numFmtId="164" fontId="15" fillId="2" borderId="0" xfId="1" applyNumberFormat="1" applyFont="1" applyFill="1"/>
    <xf numFmtId="164" fontId="9" fillId="2" borderId="0" xfId="1" applyNumberFormat="1" applyFont="1" applyFill="1" applyBorder="1"/>
    <xf numFmtId="164" fontId="9" fillId="3" borderId="0" xfId="1" applyNumberFormat="1" applyFont="1" applyFill="1"/>
    <xf numFmtId="164" fontId="15" fillId="3" borderId="0" xfId="1" applyNumberFormat="1" applyFont="1" applyFill="1"/>
    <xf numFmtId="164" fontId="9" fillId="3" borderId="0" xfId="1" applyNumberFormat="1" applyFont="1" applyFill="1" applyBorder="1"/>
    <xf numFmtId="164" fontId="16" fillId="0" borderId="0" xfId="1" applyNumberFormat="1" applyFont="1" applyBorder="1"/>
    <xf numFmtId="164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/>
    <xf numFmtId="164" fontId="15" fillId="0" borderId="0" xfId="1" applyNumberFormat="1" applyFont="1" applyFill="1" applyBorder="1" applyAlignment="1"/>
    <xf numFmtId="164" fontId="14" fillId="0" borderId="0" xfId="1" applyNumberFormat="1" applyFont="1" applyBorder="1"/>
    <xf numFmtId="164" fontId="14" fillId="0" borderId="0" xfId="1" applyNumberFormat="1" applyFont="1"/>
    <xf numFmtId="164" fontId="14" fillId="0" borderId="1" xfId="1" applyNumberFormat="1" applyFont="1" applyBorder="1"/>
    <xf numFmtId="164" fontId="14" fillId="0" borderId="0" xfId="1" applyNumberFormat="1" applyFont="1" applyFill="1"/>
    <xf numFmtId="165" fontId="16" fillId="0" borderId="0" xfId="2" quotePrefix="1" applyNumberFormat="1" applyFont="1" applyFill="1" applyBorder="1" applyAlignment="1">
      <alignment horizontal="right"/>
    </xf>
    <xf numFmtId="165" fontId="9" fillId="0" borderId="0" xfId="2" applyNumberFormat="1" applyFont="1" applyBorder="1" applyAlignment="1">
      <alignment horizontal="right"/>
    </xf>
    <xf numFmtId="164" fontId="16" fillId="0" borderId="0" xfId="1" applyNumberFormat="1" applyFont="1" applyFill="1"/>
    <xf numFmtId="165" fontId="14" fillId="0" borderId="0" xfId="2" applyNumberFormat="1" applyFont="1" applyFill="1" applyBorder="1"/>
    <xf numFmtId="165" fontId="8" fillId="0" borderId="0" xfId="2" applyNumberFormat="1" applyFont="1"/>
    <xf numFmtId="164" fontId="8" fillId="0" borderId="0" xfId="1" applyNumberFormat="1" applyFont="1" applyBorder="1"/>
    <xf numFmtId="44" fontId="7" fillId="0" borderId="2" xfId="2" applyFont="1" applyBorder="1"/>
    <xf numFmtId="164" fontId="8" fillId="0" borderId="0" xfId="1" applyNumberFormat="1" applyFont="1" applyFill="1" applyBorder="1" applyAlignment="1">
      <alignment horizontal="right"/>
    </xf>
    <xf numFmtId="43" fontId="7" fillId="0" borderId="0" xfId="1" applyFont="1" applyBorder="1"/>
    <xf numFmtId="165" fontId="14" fillId="0" borderId="2" xfId="2" applyNumberFormat="1" applyFont="1" applyFill="1" applyBorder="1"/>
    <xf numFmtId="164" fontId="16" fillId="0" borderId="0" xfId="1" applyNumberFormat="1" applyFont="1" applyBorder="1" applyAlignment="1">
      <alignment horizontal="right"/>
    </xf>
    <xf numFmtId="164" fontId="16" fillId="0" borderId="1" xfId="1" applyNumberFormat="1" applyFont="1" applyFill="1" applyBorder="1"/>
    <xf numFmtId="164" fontId="14" fillId="0" borderId="1" xfId="1" applyNumberFormat="1" applyFont="1" applyFill="1" applyBorder="1"/>
    <xf numFmtId="164" fontId="9" fillId="0" borderId="0" xfId="1" applyNumberFormat="1" applyFont="1" applyAlignment="1">
      <alignment horizontal="left"/>
    </xf>
    <xf numFmtId="164" fontId="14" fillId="0" borderId="0" xfId="1" applyNumberFormat="1" applyFont="1" applyBorder="1" applyAlignment="1">
      <alignment horizontal="left"/>
    </xf>
    <xf numFmtId="0" fontId="16" fillId="0" borderId="0" xfId="1" applyNumberFormat="1" applyFont="1" applyBorder="1" applyAlignment="1">
      <alignment horizontal="left"/>
    </xf>
    <xf numFmtId="164" fontId="16" fillId="0" borderId="0" xfId="1" applyNumberFormat="1" applyFont="1" applyAlignment="1">
      <alignment horizontal="left"/>
    </xf>
    <xf numFmtId="164" fontId="16" fillId="0" borderId="0" xfId="1" quotePrefix="1" applyNumberFormat="1" applyFont="1" applyFill="1" applyBorder="1" applyAlignment="1">
      <alignment horizontal="left"/>
    </xf>
    <xf numFmtId="165" fontId="7" fillId="0" borderId="0" xfId="2" applyNumberFormat="1" applyFont="1"/>
    <xf numFmtId="164" fontId="16" fillId="0" borderId="0" xfId="1" applyNumberFormat="1" applyFont="1" applyFill="1" applyBorder="1" applyAlignment="1"/>
    <xf numFmtId="164" fontId="16" fillId="0" borderId="0" xfId="1" applyNumberFormat="1" applyFont="1" applyFill="1" applyBorder="1" applyAlignment="1">
      <alignment horizontal="center"/>
    </xf>
    <xf numFmtId="14" fontId="16" fillId="0" borderId="0" xfId="1" applyNumberFormat="1" applyFont="1" applyFill="1" applyBorder="1" applyAlignment="1">
      <alignment horizontal="center"/>
    </xf>
    <xf numFmtId="164" fontId="16" fillId="0" borderId="0" xfId="1" applyNumberFormat="1" applyFont="1" applyAlignment="1">
      <alignment horizontal="right"/>
    </xf>
    <xf numFmtId="165" fontId="16" fillId="0" borderId="2" xfId="2" applyNumberFormat="1" applyFont="1" applyFill="1" applyBorder="1"/>
    <xf numFmtId="165" fontId="7" fillId="0" borderId="1" xfId="2" applyNumberFormat="1" applyFont="1" applyBorder="1"/>
    <xf numFmtId="43" fontId="0" fillId="0" borderId="0" xfId="1" applyFont="1"/>
    <xf numFmtId="164" fontId="17" fillId="0" borderId="0" xfId="1" applyNumberFormat="1" applyFont="1"/>
    <xf numFmtId="164" fontId="17" fillId="0" borderId="0" xfId="1" applyNumberFormat="1" applyFont="1" applyBorder="1"/>
    <xf numFmtId="164" fontId="18" fillId="0" borderId="0" xfId="1" applyNumberFormat="1" applyFont="1"/>
    <xf numFmtId="164" fontId="19" fillId="0" borderId="0" xfId="1" applyNumberFormat="1" applyFont="1"/>
    <xf numFmtId="165" fontId="16" fillId="0" borderId="0" xfId="0" applyNumberFormat="1" applyFont="1"/>
    <xf numFmtId="165" fontId="14" fillId="0" borderId="0" xfId="0" applyNumberFormat="1" applyFont="1"/>
    <xf numFmtId="164" fontId="11" fillId="0" borderId="0" xfId="0" applyNumberFormat="1" applyFont="1"/>
    <xf numFmtId="164" fontId="16" fillId="0" borderId="0" xfId="0" applyNumberFormat="1" applyFont="1"/>
    <xf numFmtId="164" fontId="14" fillId="0" borderId="0" xfId="0" applyNumberFormat="1" applyFont="1"/>
    <xf numFmtId="164" fontId="11" fillId="0" borderId="0" xfId="1" applyNumberFormat="1" applyFont="1"/>
    <xf numFmtId="43" fontId="11" fillId="0" borderId="0" xfId="1" applyFont="1"/>
    <xf numFmtId="44" fontId="8" fillId="0" borderId="0" xfId="2" applyFont="1"/>
    <xf numFmtId="43" fontId="11" fillId="0" borderId="1" xfId="1" applyFont="1" applyBorder="1"/>
    <xf numFmtId="165" fontId="0" fillId="0" borderId="0" xfId="2" applyNumberFormat="1" applyFont="1"/>
    <xf numFmtId="4" fontId="0" fillId="0" borderId="0" xfId="0" applyNumberFormat="1"/>
    <xf numFmtId="6" fontId="0" fillId="0" borderId="0" xfId="0" applyNumberFormat="1"/>
    <xf numFmtId="3" fontId="0" fillId="0" borderId="0" xfId="0" applyNumberFormat="1"/>
    <xf numFmtId="43" fontId="7" fillId="4" borderId="0" xfId="1" applyFont="1" applyFill="1"/>
    <xf numFmtId="43" fontId="7" fillId="4" borderId="1" xfId="1" applyFont="1" applyFill="1" applyBorder="1"/>
    <xf numFmtId="43" fontId="0" fillId="4" borderId="0" xfId="1" applyFont="1" applyFill="1"/>
    <xf numFmtId="164" fontId="2" fillId="4" borderId="0" xfId="1" applyNumberFormat="1" applyFont="1" applyFill="1"/>
    <xf numFmtId="164" fontId="14" fillId="4" borderId="0" xfId="1" applyNumberFormat="1" applyFont="1" applyFill="1" applyAlignment="1">
      <alignment horizontal="right"/>
    </xf>
    <xf numFmtId="164" fontId="14" fillId="4" borderId="1" xfId="1" applyNumberFormat="1" applyFont="1" applyFill="1" applyBorder="1"/>
    <xf numFmtId="164" fontId="14" fillId="4" borderId="0" xfId="1" applyNumberFormat="1" applyFont="1" applyFill="1"/>
    <xf numFmtId="164" fontId="16" fillId="5" borderId="0" xfId="1" applyNumberFormat="1" applyFont="1" applyFill="1" applyBorder="1"/>
    <xf numFmtId="164" fontId="16" fillId="5" borderId="1" xfId="1" applyNumberFormat="1" applyFont="1" applyFill="1" applyBorder="1"/>
    <xf numFmtId="49" fontId="22" fillId="0" borderId="0" xfId="0" applyNumberFormat="1" applyFont="1" applyAlignment="1">
      <alignment horizontal="center"/>
    </xf>
    <xf numFmtId="49" fontId="22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2" fillId="0" borderId="6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49" fontId="22" fillId="0" borderId="0" xfId="0" applyNumberFormat="1" applyFont="1"/>
    <xf numFmtId="39" fontId="24" fillId="0" borderId="0" xfId="0" applyNumberFormat="1" applyFont="1"/>
    <xf numFmtId="49" fontId="24" fillId="0" borderId="0" xfId="0" applyNumberFormat="1" applyFont="1"/>
    <xf numFmtId="39" fontId="25" fillId="0" borderId="0" xfId="0" applyNumberFormat="1" applyFont="1"/>
    <xf numFmtId="0" fontId="25" fillId="0" borderId="0" xfId="0" applyFont="1"/>
    <xf numFmtId="39" fontId="24" fillId="0" borderId="7" xfId="0" applyNumberFormat="1" applyFont="1" applyBorder="1"/>
    <xf numFmtId="39" fontId="25" fillId="0" borderId="7" xfId="0" applyNumberFormat="1" applyFont="1" applyBorder="1"/>
    <xf numFmtId="39" fontId="24" fillId="0" borderId="8" xfId="0" applyNumberFormat="1" applyFont="1" applyBorder="1"/>
    <xf numFmtId="39" fontId="24" fillId="0" borderId="9" xfId="0" applyNumberFormat="1" applyFont="1" applyBorder="1"/>
    <xf numFmtId="39" fontId="22" fillId="0" borderId="10" xfId="0" applyNumberFormat="1" applyFont="1" applyBorder="1"/>
    <xf numFmtId="39" fontId="22" fillId="0" borderId="0" xfId="0" applyNumberFormat="1" applyFont="1"/>
    <xf numFmtId="0" fontId="22" fillId="0" borderId="0" xfId="0" applyFont="1"/>
    <xf numFmtId="49" fontId="22" fillId="0" borderId="6" xfId="0" applyNumberFormat="1" applyFont="1" applyFill="1" applyBorder="1" applyAlignment="1">
      <alignment horizontal="center" wrapText="1"/>
    </xf>
    <xf numFmtId="39" fontId="24" fillId="0" borderId="0" xfId="0" applyNumberFormat="1" applyFont="1" applyFill="1"/>
    <xf numFmtId="39" fontId="24" fillId="0" borderId="7" xfId="0" applyNumberFormat="1" applyFont="1" applyFill="1" applyBorder="1"/>
    <xf numFmtId="39" fontId="24" fillId="0" borderId="8" xfId="0" applyNumberFormat="1" applyFont="1" applyFill="1" applyBorder="1"/>
    <xf numFmtId="39" fontId="24" fillId="0" borderId="9" xfId="0" applyNumberFormat="1" applyFont="1" applyFill="1" applyBorder="1"/>
    <xf numFmtId="39" fontId="22" fillId="0" borderId="10" xfId="0" applyNumberFormat="1" applyFont="1" applyFill="1" applyBorder="1"/>
    <xf numFmtId="0" fontId="0" fillId="0" borderId="0" xfId="0" applyFill="1"/>
    <xf numFmtId="43" fontId="7" fillId="0" borderId="0" xfId="0" applyNumberFormat="1" applyFont="1" applyBorder="1"/>
    <xf numFmtId="43" fontId="7" fillId="4" borderId="0" xfId="1" applyFont="1" applyFill="1" applyBorder="1"/>
    <xf numFmtId="164" fontId="26" fillId="4" borderId="3" xfId="1" applyNumberFormat="1" applyFont="1" applyFill="1" applyBorder="1" applyAlignment="1">
      <alignment horizontal="right"/>
    </xf>
    <xf numFmtId="164" fontId="26" fillId="4" borderId="4" xfId="1" applyNumberFormat="1" applyFont="1" applyFill="1" applyBorder="1"/>
    <xf numFmtId="165" fontId="26" fillId="4" borderId="5" xfId="2" applyNumberFormat="1" applyFont="1" applyFill="1" applyBorder="1"/>
    <xf numFmtId="166" fontId="9" fillId="0" borderId="0" xfId="1" applyNumberFormat="1" applyFont="1" applyAlignment="1">
      <alignment horizontal="left"/>
    </xf>
  </cellXfs>
  <cellStyles count="5">
    <cellStyle name="Comma" xfId="1" builtinId="3"/>
    <cellStyle name="Comma 2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57150</xdr:colOff>
          <xdr:row>0</xdr:row>
          <xdr:rowOff>228600</xdr:rowOff>
        </xdr:to>
        <xdr:sp macro="" textlink="">
          <xdr:nvSpPr>
            <xdr:cNvPr id="10241" name="FILTER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6884B770-CD93-4AF2-A553-BC4C03022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57150</xdr:colOff>
          <xdr:row>0</xdr:row>
          <xdr:rowOff>228600</xdr:rowOff>
        </xdr:to>
        <xdr:sp macro="" textlink="">
          <xdr:nvSpPr>
            <xdr:cNvPr id="10242" name="HEADER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BA0722D8-2AA4-465A-9845-C0C08C7EEC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28"/>
  <sheetViews>
    <sheetView workbookViewId="0">
      <pane xSplit="6" ySplit="1" topLeftCell="G2" activePane="bottomRight" state="frozenSplit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RowHeight="14.25" x14ac:dyDescent="0.45"/>
  <cols>
    <col min="1" max="5" width="3" style="124" customWidth="1"/>
    <col min="6" max="6" width="35.73046875" style="124" customWidth="1"/>
    <col min="7" max="7" width="12.265625" bestFit="1" customWidth="1"/>
    <col min="8" max="8" width="2.1328125" customWidth="1"/>
    <col min="9" max="9" width="12.265625" customWidth="1"/>
    <col min="10" max="10" width="2.3984375" customWidth="1"/>
    <col min="11" max="11" width="14.1328125" customWidth="1"/>
    <col min="12" max="12" width="2.265625" customWidth="1"/>
    <col min="13" max="13" width="12.3984375" style="131" bestFit="1" customWidth="1"/>
    <col min="14" max="14" width="2" customWidth="1"/>
    <col min="15" max="15" width="10.73046875" customWidth="1"/>
    <col min="16" max="16" width="2.59765625" customWidth="1"/>
    <col min="17" max="17" width="10.59765625" bestFit="1" customWidth="1"/>
  </cols>
  <sheetData>
    <row r="1" spans="1:17" s="110" customFormat="1" ht="66" customHeight="1" thickTop="1" thickBot="1" x14ac:dyDescent="0.5">
      <c r="A1" s="106"/>
      <c r="B1" s="106"/>
      <c r="C1" s="106"/>
      <c r="D1" s="106"/>
      <c r="E1" s="106"/>
      <c r="F1" s="106"/>
      <c r="G1" s="107" t="s">
        <v>134</v>
      </c>
      <c r="H1" s="106"/>
      <c r="I1" s="107" t="s">
        <v>134</v>
      </c>
      <c r="J1" s="108"/>
      <c r="K1" s="109" t="s">
        <v>135</v>
      </c>
      <c r="L1" s="108"/>
      <c r="M1" s="125" t="s">
        <v>136</v>
      </c>
      <c r="O1" s="111" t="s">
        <v>137</v>
      </c>
      <c r="P1" s="112"/>
      <c r="Q1" s="111" t="s">
        <v>138</v>
      </c>
    </row>
    <row r="2" spans="1:17" ht="14.65" thickTop="1" x14ac:dyDescent="0.45">
      <c r="A2" s="113"/>
      <c r="B2" s="113" t="s">
        <v>139</v>
      </c>
      <c r="C2" s="113"/>
      <c r="D2" s="113"/>
      <c r="E2" s="113"/>
      <c r="F2" s="113"/>
      <c r="G2" s="114"/>
      <c r="H2" s="114"/>
      <c r="I2" s="114"/>
      <c r="J2" s="114"/>
      <c r="K2" s="114"/>
      <c r="L2" s="115"/>
      <c r="M2" s="126"/>
    </row>
    <row r="3" spans="1:17" x14ac:dyDescent="0.45">
      <c r="A3" s="113"/>
      <c r="B3" s="113"/>
      <c r="C3" s="113"/>
      <c r="D3" s="113" t="s">
        <v>140</v>
      </c>
      <c r="E3" s="113"/>
      <c r="F3" s="113"/>
      <c r="G3" s="114"/>
      <c r="H3" s="114"/>
      <c r="I3" s="114"/>
      <c r="J3" s="114"/>
      <c r="K3" s="114"/>
      <c r="L3" s="115"/>
      <c r="M3" s="126"/>
    </row>
    <row r="4" spans="1:17" x14ac:dyDescent="0.45">
      <c r="A4" s="113"/>
      <c r="B4" s="113"/>
      <c r="C4" s="113"/>
      <c r="D4" s="113"/>
      <c r="E4" s="113" t="s">
        <v>141</v>
      </c>
      <c r="F4" s="113"/>
      <c r="G4" s="114"/>
      <c r="H4" s="114"/>
      <c r="I4" s="114"/>
      <c r="J4" s="114"/>
      <c r="K4" s="114"/>
      <c r="L4" s="115"/>
      <c r="M4" s="126"/>
    </row>
    <row r="5" spans="1:17" x14ac:dyDescent="0.45">
      <c r="A5" s="113"/>
      <c r="B5" s="113"/>
      <c r="C5" s="113"/>
      <c r="D5" s="113"/>
      <c r="E5" s="113"/>
      <c r="F5" s="113" t="s">
        <v>142</v>
      </c>
      <c r="G5" s="114"/>
      <c r="H5" s="114"/>
      <c r="I5" s="114">
        <v>1500</v>
      </c>
      <c r="J5" s="114"/>
      <c r="K5" s="114">
        <f>G5+I5</f>
        <v>1500</v>
      </c>
      <c r="L5" s="115"/>
      <c r="M5" s="126">
        <v>1500</v>
      </c>
      <c r="O5" s="116">
        <f>K5-M5</f>
        <v>0</v>
      </c>
      <c r="P5" s="117"/>
      <c r="Q5" s="116">
        <f>M5+O5</f>
        <v>1500</v>
      </c>
    </row>
    <row r="6" spans="1:17" x14ac:dyDescent="0.45">
      <c r="A6" s="113"/>
      <c r="B6" s="113"/>
      <c r="C6" s="113"/>
      <c r="D6" s="113"/>
      <c r="E6" s="113"/>
      <c r="F6" s="113" t="s">
        <v>143</v>
      </c>
      <c r="G6" s="114"/>
      <c r="H6" s="114"/>
      <c r="I6" s="114">
        <f>G6/8*4</f>
        <v>0</v>
      </c>
      <c r="J6" s="114"/>
      <c r="K6" s="114">
        <f>G6+I6</f>
        <v>0</v>
      </c>
      <c r="L6" s="115"/>
      <c r="M6" s="126"/>
      <c r="O6" s="116">
        <f>K6-M6</f>
        <v>0</v>
      </c>
      <c r="P6" s="117"/>
      <c r="Q6" s="116">
        <f>M6+O6</f>
        <v>0</v>
      </c>
    </row>
    <row r="7" spans="1:17" x14ac:dyDescent="0.45">
      <c r="A7" s="113"/>
      <c r="B7" s="113"/>
      <c r="C7" s="113"/>
      <c r="D7" s="113"/>
      <c r="E7" s="113"/>
      <c r="F7" s="113" t="s">
        <v>144</v>
      </c>
      <c r="G7" s="114">
        <v>17774.13</v>
      </c>
      <c r="H7" s="114"/>
      <c r="I7" s="114">
        <f>G7/8*4</f>
        <v>8887.0650000000005</v>
      </c>
      <c r="J7" s="114"/>
      <c r="K7" s="114">
        <f>G7+I7</f>
        <v>26661.195</v>
      </c>
      <c r="L7" s="115"/>
      <c r="M7" s="126"/>
      <c r="O7" s="116">
        <f>K7-M7</f>
        <v>26661.195</v>
      </c>
      <c r="P7" s="117"/>
      <c r="Q7" s="116">
        <f>M7+O7</f>
        <v>26661.195</v>
      </c>
    </row>
    <row r="8" spans="1:17" x14ac:dyDescent="0.45">
      <c r="A8" s="113"/>
      <c r="B8" s="113"/>
      <c r="C8" s="113"/>
      <c r="D8" s="113"/>
      <c r="E8" s="113"/>
      <c r="F8" s="113" t="s">
        <v>145</v>
      </c>
      <c r="G8" s="114">
        <v>61741.07</v>
      </c>
      <c r="H8" s="114"/>
      <c r="I8" s="114">
        <v>68578.929999999993</v>
      </c>
      <c r="J8" s="114"/>
      <c r="K8" s="114">
        <f>G8+I8</f>
        <v>130320</v>
      </c>
      <c r="L8" s="115"/>
      <c r="M8" s="126">
        <v>130320</v>
      </c>
      <c r="O8" s="116">
        <f>K8-M8</f>
        <v>0</v>
      </c>
      <c r="P8" s="117"/>
      <c r="Q8" s="116">
        <f>M8+O8</f>
        <v>130320</v>
      </c>
    </row>
    <row r="9" spans="1:17" ht="14.65" thickBot="1" x14ac:dyDescent="0.5">
      <c r="A9" s="113"/>
      <c r="B9" s="113"/>
      <c r="C9" s="113"/>
      <c r="D9" s="113"/>
      <c r="E9" s="113"/>
      <c r="F9" s="113" t="s">
        <v>146</v>
      </c>
      <c r="G9" s="118">
        <v>26850</v>
      </c>
      <c r="H9" s="114"/>
      <c r="I9" s="118">
        <v>2506</v>
      </c>
      <c r="J9" s="114"/>
      <c r="K9" s="118">
        <f>G9+I9</f>
        <v>29356</v>
      </c>
      <c r="L9" s="115"/>
      <c r="M9" s="127">
        <v>29356</v>
      </c>
      <c r="O9" s="119">
        <f>K9-M9</f>
        <v>0</v>
      </c>
      <c r="P9" s="117"/>
      <c r="Q9" s="119">
        <f>M9+O9</f>
        <v>29356</v>
      </c>
    </row>
    <row r="10" spans="1:17" x14ac:dyDescent="0.45">
      <c r="A10" s="113"/>
      <c r="B10" s="113"/>
      <c r="C10" s="113"/>
      <c r="D10" s="113"/>
      <c r="E10" s="113" t="s">
        <v>147</v>
      </c>
      <c r="F10" s="113"/>
      <c r="G10" s="114">
        <f>ROUND(SUM(G4:G9),5)</f>
        <v>106365.2</v>
      </c>
      <c r="H10" s="114"/>
      <c r="I10" s="114">
        <f>SUM(I5:I9)</f>
        <v>81471.994999999995</v>
      </c>
      <c r="J10" s="114"/>
      <c r="K10" s="114">
        <f>SUM(K5:K9)</f>
        <v>187837.19500000001</v>
      </c>
      <c r="L10" s="115"/>
      <c r="M10" s="126">
        <f>ROUND(SUM(M4:M9),5)</f>
        <v>161176</v>
      </c>
      <c r="O10" s="116">
        <f>SUM(O5:O9)</f>
        <v>26661.195</v>
      </c>
      <c r="P10" s="117"/>
      <c r="Q10" s="116">
        <f>SUM(Q5:Q9)</f>
        <v>187837.19500000001</v>
      </c>
    </row>
    <row r="11" spans="1:17" x14ac:dyDescent="0.45">
      <c r="A11" s="113"/>
      <c r="B11" s="113"/>
      <c r="C11" s="113"/>
      <c r="D11" s="113"/>
      <c r="E11" s="113" t="s">
        <v>148</v>
      </c>
      <c r="F11" s="113"/>
      <c r="G11" s="114"/>
      <c r="H11" s="114"/>
      <c r="I11" s="114"/>
      <c r="J11" s="114"/>
      <c r="K11" s="114"/>
      <c r="L11" s="115"/>
      <c r="M11" s="126"/>
      <c r="O11" s="117"/>
      <c r="P11" s="117"/>
      <c r="Q11" s="117"/>
    </row>
    <row r="12" spans="1:17" x14ac:dyDescent="0.45">
      <c r="A12" s="113"/>
      <c r="B12" s="113"/>
      <c r="C12" s="113"/>
      <c r="D12" s="113"/>
      <c r="E12" s="113"/>
      <c r="F12" s="113" t="s">
        <v>149</v>
      </c>
      <c r="G12" s="114"/>
      <c r="H12" s="114"/>
      <c r="I12" s="114">
        <f>G12/8*4</f>
        <v>0</v>
      </c>
      <c r="J12" s="114"/>
      <c r="K12" s="114">
        <f>G12+I12</f>
        <v>0</v>
      </c>
      <c r="L12" s="115"/>
      <c r="M12" s="126"/>
      <c r="O12" s="116">
        <f>K12-M12</f>
        <v>0</v>
      </c>
      <c r="P12" s="117"/>
      <c r="Q12" s="116">
        <f>M12+O12</f>
        <v>0</v>
      </c>
    </row>
    <row r="13" spans="1:17" x14ac:dyDescent="0.45">
      <c r="A13" s="113"/>
      <c r="B13" s="113"/>
      <c r="C13" s="113"/>
      <c r="D13" s="113"/>
      <c r="E13" s="113"/>
      <c r="F13" s="113" t="s">
        <v>150</v>
      </c>
      <c r="G13" s="114">
        <v>452524.66</v>
      </c>
      <c r="H13" s="114"/>
      <c r="I13" s="114">
        <v>238564.34</v>
      </c>
      <c r="J13" s="114"/>
      <c r="K13" s="114">
        <f>G13+I13</f>
        <v>691089</v>
      </c>
      <c r="L13" s="115"/>
      <c r="M13" s="126">
        <v>749849</v>
      </c>
      <c r="O13" s="116">
        <f>K13-M13</f>
        <v>-58760</v>
      </c>
      <c r="P13" s="117"/>
      <c r="Q13" s="116">
        <f>M13+O13</f>
        <v>691089</v>
      </c>
    </row>
    <row r="14" spans="1:17" x14ac:dyDescent="0.45">
      <c r="A14" s="113"/>
      <c r="B14" s="113"/>
      <c r="C14" s="113"/>
      <c r="D14" s="113"/>
      <c r="E14" s="113"/>
      <c r="F14" s="113" t="s">
        <v>151</v>
      </c>
      <c r="G14" s="114">
        <v>2400</v>
      </c>
      <c r="H14" s="114"/>
      <c r="I14" s="114">
        <v>0</v>
      </c>
      <c r="J14" s="114"/>
      <c r="K14" s="114">
        <f>G14+I14</f>
        <v>2400</v>
      </c>
      <c r="L14" s="115"/>
      <c r="M14" s="126">
        <v>2400</v>
      </c>
      <c r="O14" s="116">
        <f>K14-M14</f>
        <v>0</v>
      </c>
      <c r="P14" s="117"/>
      <c r="Q14" s="116">
        <f>M14+O14</f>
        <v>2400</v>
      </c>
    </row>
    <row r="15" spans="1:17" ht="14.65" thickBot="1" x14ac:dyDescent="0.5">
      <c r="A15" s="113"/>
      <c r="B15" s="113"/>
      <c r="C15" s="113"/>
      <c r="D15" s="113"/>
      <c r="E15" s="113"/>
      <c r="F15" s="113" t="s">
        <v>152</v>
      </c>
      <c r="G15" s="118"/>
      <c r="H15" s="114"/>
      <c r="I15" s="118">
        <v>2000</v>
      </c>
      <c r="J15" s="114"/>
      <c r="K15" s="118">
        <f>G15+I15</f>
        <v>2000</v>
      </c>
      <c r="L15" s="115"/>
      <c r="M15" s="127">
        <v>2000</v>
      </c>
      <c r="O15" s="119">
        <f>K15-M15</f>
        <v>0</v>
      </c>
      <c r="P15" s="117"/>
      <c r="Q15" s="119">
        <f>M15+O15</f>
        <v>2000</v>
      </c>
    </row>
    <row r="16" spans="1:17" x14ac:dyDescent="0.45">
      <c r="A16" s="113"/>
      <c r="B16" s="113"/>
      <c r="C16" s="113"/>
      <c r="D16" s="113"/>
      <c r="E16" s="113" t="s">
        <v>153</v>
      </c>
      <c r="F16" s="113"/>
      <c r="G16" s="114">
        <f>ROUND(SUM(G11:G15),5)</f>
        <v>454924.66</v>
      </c>
      <c r="H16" s="114"/>
      <c r="I16" s="114"/>
      <c r="J16" s="114"/>
      <c r="K16" s="114">
        <f>SUM(K12:K15)</f>
        <v>695489</v>
      </c>
      <c r="L16" s="115"/>
      <c r="M16" s="126">
        <f>ROUND(SUM(M11:M15),5)</f>
        <v>754249</v>
      </c>
      <c r="O16" s="116">
        <f>SUM(O12:O15)</f>
        <v>-58760</v>
      </c>
      <c r="P16" s="117"/>
      <c r="Q16" s="116">
        <f>SUM(Q12:Q15)</f>
        <v>695489</v>
      </c>
    </row>
    <row r="17" spans="1:17" x14ac:dyDescent="0.45">
      <c r="A17" s="113"/>
      <c r="B17" s="113"/>
      <c r="C17" s="113"/>
      <c r="D17" s="113"/>
      <c r="E17" s="113" t="s">
        <v>154</v>
      </c>
      <c r="F17" s="113"/>
      <c r="G17" s="114"/>
      <c r="H17" s="114"/>
      <c r="I17" s="114"/>
      <c r="J17" s="114"/>
      <c r="K17" s="114"/>
      <c r="L17" s="115"/>
      <c r="M17" s="126"/>
      <c r="O17" s="117"/>
      <c r="P17" s="117"/>
      <c r="Q17" s="117"/>
    </row>
    <row r="18" spans="1:17" x14ac:dyDescent="0.45">
      <c r="A18" s="113"/>
      <c r="B18" s="113"/>
      <c r="C18" s="113"/>
      <c r="D18" s="113"/>
      <c r="E18" s="113"/>
      <c r="F18" s="113" t="s">
        <v>155</v>
      </c>
      <c r="G18" s="114">
        <v>961.15</v>
      </c>
      <c r="H18" s="114"/>
      <c r="I18" s="114">
        <f>G18/8*4</f>
        <v>480.57499999999999</v>
      </c>
      <c r="J18" s="114"/>
      <c r="K18" s="114">
        <f t="shared" ref="K18:K23" si="0">G18+I18</f>
        <v>1441.7249999999999</v>
      </c>
      <c r="L18" s="115"/>
      <c r="M18" s="126"/>
      <c r="O18" s="116">
        <f t="shared" ref="O18:O23" si="1">K18-M18</f>
        <v>1441.7249999999999</v>
      </c>
      <c r="P18" s="117"/>
      <c r="Q18" s="116">
        <f t="shared" ref="Q18:Q23" si="2">M18+O18</f>
        <v>1441.7249999999999</v>
      </c>
    </row>
    <row r="19" spans="1:17" x14ac:dyDescent="0.45">
      <c r="A19" s="113"/>
      <c r="B19" s="113"/>
      <c r="C19" s="113"/>
      <c r="D19" s="113"/>
      <c r="E19" s="113"/>
      <c r="F19" s="113" t="s">
        <v>156</v>
      </c>
      <c r="G19" s="114"/>
      <c r="H19" s="114"/>
      <c r="I19" s="114">
        <f>G19/8*4</f>
        <v>0</v>
      </c>
      <c r="J19" s="114"/>
      <c r="K19" s="114">
        <f t="shared" si="0"/>
        <v>0</v>
      </c>
      <c r="L19" s="115"/>
      <c r="M19" s="126"/>
      <c r="O19" s="116">
        <f t="shared" si="1"/>
        <v>0</v>
      </c>
      <c r="P19" s="117"/>
      <c r="Q19" s="116">
        <f t="shared" si="2"/>
        <v>0</v>
      </c>
    </row>
    <row r="20" spans="1:17" x14ac:dyDescent="0.45">
      <c r="A20" s="113"/>
      <c r="B20" s="113"/>
      <c r="C20" s="113"/>
      <c r="D20" s="113"/>
      <c r="E20" s="113"/>
      <c r="F20" s="113" t="s">
        <v>157</v>
      </c>
      <c r="G20" s="114">
        <v>520.66</v>
      </c>
      <c r="H20" s="114"/>
      <c r="I20" s="114">
        <f>G20/8*4</f>
        <v>260.33</v>
      </c>
      <c r="J20" s="114"/>
      <c r="K20" s="114">
        <f t="shared" si="0"/>
        <v>780.99</v>
      </c>
      <c r="L20" s="115"/>
      <c r="M20" s="126"/>
      <c r="O20" s="116">
        <f t="shared" si="1"/>
        <v>780.99</v>
      </c>
      <c r="P20" s="117"/>
      <c r="Q20" s="116">
        <f t="shared" si="2"/>
        <v>780.99</v>
      </c>
    </row>
    <row r="21" spans="1:17" x14ac:dyDescent="0.45">
      <c r="A21" s="113"/>
      <c r="B21" s="113"/>
      <c r="C21" s="113"/>
      <c r="D21" s="113"/>
      <c r="E21" s="113"/>
      <c r="F21" s="113" t="s">
        <v>158</v>
      </c>
      <c r="G21" s="114">
        <v>1502.91</v>
      </c>
      <c r="H21" s="114"/>
      <c r="I21" s="114">
        <v>8497.09</v>
      </c>
      <c r="J21" s="114"/>
      <c r="K21" s="114">
        <f t="shared" si="0"/>
        <v>10000</v>
      </c>
      <c r="L21" s="115"/>
      <c r="M21" s="126">
        <v>10000</v>
      </c>
      <c r="O21" s="116">
        <f t="shared" si="1"/>
        <v>0</v>
      </c>
      <c r="P21" s="117"/>
      <c r="Q21" s="116">
        <f t="shared" si="2"/>
        <v>10000</v>
      </c>
    </row>
    <row r="22" spans="1:17" x14ac:dyDescent="0.45">
      <c r="A22" s="113"/>
      <c r="B22" s="113"/>
      <c r="C22" s="113"/>
      <c r="D22" s="113"/>
      <c r="E22" s="113"/>
      <c r="F22" s="113" t="s">
        <v>159</v>
      </c>
      <c r="G22" s="114"/>
      <c r="H22" s="114"/>
      <c r="I22" s="114">
        <v>6200</v>
      </c>
      <c r="J22" s="114"/>
      <c r="K22" s="114">
        <f t="shared" si="0"/>
        <v>6200</v>
      </c>
      <c r="L22" s="115"/>
      <c r="M22" s="126">
        <v>6200</v>
      </c>
      <c r="O22" s="116">
        <f t="shared" si="1"/>
        <v>0</v>
      </c>
      <c r="P22" s="117"/>
      <c r="Q22" s="116">
        <f t="shared" si="2"/>
        <v>6200</v>
      </c>
    </row>
    <row r="23" spans="1:17" ht="14.65" thickBot="1" x14ac:dyDescent="0.5">
      <c r="A23" s="113"/>
      <c r="B23" s="113"/>
      <c r="C23" s="113"/>
      <c r="D23" s="113"/>
      <c r="E23" s="113"/>
      <c r="F23" s="113" t="s">
        <v>160</v>
      </c>
      <c r="G23" s="114">
        <v>332.17</v>
      </c>
      <c r="H23" s="114"/>
      <c r="I23" s="118">
        <v>0</v>
      </c>
      <c r="J23" s="114"/>
      <c r="K23" s="118">
        <f t="shared" si="0"/>
        <v>332.17</v>
      </c>
      <c r="L23" s="115"/>
      <c r="M23" s="126"/>
      <c r="O23" s="116">
        <f t="shared" si="1"/>
        <v>332.17</v>
      </c>
      <c r="P23" s="117"/>
      <c r="Q23" s="116">
        <f t="shared" si="2"/>
        <v>332.17</v>
      </c>
    </row>
    <row r="24" spans="1:17" ht="14.65" thickBot="1" x14ac:dyDescent="0.5">
      <c r="A24" s="113"/>
      <c r="B24" s="113"/>
      <c r="C24" s="113"/>
      <c r="D24" s="113"/>
      <c r="E24" s="113" t="s">
        <v>161</v>
      </c>
      <c r="F24" s="113"/>
      <c r="G24" s="120">
        <f>ROUND(SUM(G17:G23),5)</f>
        <v>3316.89</v>
      </c>
      <c r="H24" s="114"/>
      <c r="I24" s="121">
        <f>SUM(I18:I23)</f>
        <v>15437.995000000001</v>
      </c>
      <c r="J24" s="114"/>
      <c r="K24" s="121">
        <f>SUM(K18:K23)</f>
        <v>18754.884999999998</v>
      </c>
      <c r="L24" s="115"/>
      <c r="M24" s="128">
        <f>ROUND(SUM(M17:M23),5)</f>
        <v>16200</v>
      </c>
      <c r="O24" s="121">
        <f>SUM(O18:O23)</f>
        <v>2554.8850000000002</v>
      </c>
      <c r="P24" s="117"/>
      <c r="Q24" s="121">
        <f>SUM(Q18:Q23)</f>
        <v>18754.884999999998</v>
      </c>
    </row>
    <row r="25" spans="1:17" ht="14.65" thickBot="1" x14ac:dyDescent="0.5">
      <c r="A25" s="113"/>
      <c r="B25" s="113"/>
      <c r="C25" s="113"/>
      <c r="D25" s="113" t="s">
        <v>162</v>
      </c>
      <c r="E25" s="113"/>
      <c r="F25" s="113"/>
      <c r="G25" s="121">
        <f>ROUND(G3+G10+G16+G24,5)</f>
        <v>564606.75</v>
      </c>
      <c r="H25" s="114"/>
      <c r="I25" s="121">
        <f>ROUND(I3+I10+I16+I24,5)</f>
        <v>96909.99</v>
      </c>
      <c r="J25" s="114"/>
      <c r="K25" s="121">
        <f>ROUND(K3+K10+K16+K24,5)</f>
        <v>902081.08</v>
      </c>
      <c r="L25" s="115"/>
      <c r="M25" s="129">
        <f>ROUND(M3+M10+M16+M24,5)</f>
        <v>931625</v>
      </c>
      <c r="O25" s="121">
        <f>ROUND(O3+O10+O16+O24,5)</f>
        <v>-29543.919999999998</v>
      </c>
      <c r="P25" s="117"/>
      <c r="Q25" s="121">
        <f>ROUND(Q3+Q10+Q16+Q24,5)</f>
        <v>902081.08</v>
      </c>
    </row>
    <row r="26" spans="1:17" x14ac:dyDescent="0.45">
      <c r="A26" s="113"/>
      <c r="B26" s="113"/>
      <c r="C26" s="113" t="s">
        <v>163</v>
      </c>
      <c r="D26" s="113"/>
      <c r="E26" s="113"/>
      <c r="F26" s="113"/>
      <c r="G26" s="114">
        <f>G25</f>
        <v>564606.75</v>
      </c>
      <c r="H26" s="114"/>
      <c r="I26" s="114">
        <f>I25</f>
        <v>96909.99</v>
      </c>
      <c r="J26" s="114"/>
      <c r="K26" s="114">
        <f>K25</f>
        <v>902081.08</v>
      </c>
      <c r="L26" s="115"/>
      <c r="M26" s="126">
        <f>M25</f>
        <v>931625</v>
      </c>
      <c r="O26" s="114">
        <f>O25</f>
        <v>-29543.919999999998</v>
      </c>
      <c r="P26" s="117"/>
      <c r="Q26" s="114">
        <f>Q25</f>
        <v>902081.08</v>
      </c>
    </row>
    <row r="27" spans="1:17" x14ac:dyDescent="0.45">
      <c r="A27" s="113"/>
      <c r="B27" s="113"/>
      <c r="C27" s="113"/>
      <c r="D27" s="113" t="s">
        <v>164</v>
      </c>
      <c r="E27" s="113"/>
      <c r="F27" s="113"/>
      <c r="G27" s="114"/>
      <c r="H27" s="114"/>
      <c r="I27" s="114"/>
      <c r="J27" s="114"/>
      <c r="K27" s="114"/>
      <c r="L27" s="115"/>
      <c r="M27" s="126"/>
      <c r="O27" s="117"/>
      <c r="P27" s="117"/>
      <c r="Q27" s="117"/>
    </row>
    <row r="28" spans="1:17" x14ac:dyDescent="0.45">
      <c r="A28" s="113"/>
      <c r="B28" s="113"/>
      <c r="C28" s="113"/>
      <c r="D28" s="113"/>
      <c r="E28" s="113" t="s">
        <v>46</v>
      </c>
      <c r="F28" s="113"/>
      <c r="G28" s="114"/>
      <c r="H28" s="114"/>
      <c r="I28" s="114"/>
      <c r="J28" s="114"/>
      <c r="K28" s="114"/>
      <c r="L28" s="115"/>
      <c r="M28" s="126"/>
      <c r="O28" s="117"/>
      <c r="P28" s="117"/>
      <c r="Q28" s="117"/>
    </row>
    <row r="29" spans="1:17" x14ac:dyDescent="0.45">
      <c r="A29" s="113"/>
      <c r="B29" s="113"/>
      <c r="C29" s="113"/>
      <c r="D29" s="113"/>
      <c r="E29" s="113"/>
      <c r="F29" s="113" t="s">
        <v>165</v>
      </c>
      <c r="G29" s="114">
        <v>227370.84</v>
      </c>
      <c r="H29" s="114"/>
      <c r="I29" s="114">
        <f t="shared" ref="I29:I47" si="3">G29/8*4</f>
        <v>113685.42</v>
      </c>
      <c r="J29" s="114"/>
      <c r="K29" s="114">
        <f t="shared" ref="K29:K47" si="4">G29+I29</f>
        <v>341056.26</v>
      </c>
      <c r="L29" s="115"/>
      <c r="M29" s="126">
        <v>350129</v>
      </c>
      <c r="O29" s="116">
        <f t="shared" ref="O29:O47" si="5">K29-M29</f>
        <v>-9072.7399999999907</v>
      </c>
      <c r="P29" s="117"/>
      <c r="Q29" s="116">
        <f>'Payroll FY2024'!H19+'Payroll FY2024'!K19</f>
        <v>428140</v>
      </c>
    </row>
    <row r="30" spans="1:17" x14ac:dyDescent="0.45">
      <c r="A30" s="113"/>
      <c r="B30" s="113"/>
      <c r="C30" s="113"/>
      <c r="D30" s="113"/>
      <c r="E30" s="113"/>
      <c r="F30" s="113" t="s">
        <v>166</v>
      </c>
      <c r="G30" s="114">
        <v>6134.92</v>
      </c>
      <c r="H30" s="114"/>
      <c r="I30" s="114">
        <f t="shared" si="3"/>
        <v>3067.46</v>
      </c>
      <c r="J30" s="114"/>
      <c r="K30" s="114">
        <f t="shared" si="4"/>
        <v>9202.380000000001</v>
      </c>
      <c r="L30" s="115"/>
      <c r="M30" s="126">
        <v>5000</v>
      </c>
      <c r="O30" s="116">
        <f t="shared" si="5"/>
        <v>4202.380000000001</v>
      </c>
      <c r="P30" s="117"/>
      <c r="Q30" s="116">
        <f t="shared" ref="Q30:Q47" si="6">M30+O30</f>
        <v>9202.380000000001</v>
      </c>
    </row>
    <row r="31" spans="1:17" x14ac:dyDescent="0.45">
      <c r="A31" s="113"/>
      <c r="B31" s="113"/>
      <c r="C31" s="113"/>
      <c r="D31" s="113"/>
      <c r="E31" s="113"/>
      <c r="F31" s="113" t="s">
        <v>167</v>
      </c>
      <c r="G31" s="114">
        <v>680.55</v>
      </c>
      <c r="H31" s="114"/>
      <c r="I31" s="114">
        <f t="shared" si="3"/>
        <v>340.27499999999998</v>
      </c>
      <c r="J31" s="114"/>
      <c r="K31" s="114">
        <f t="shared" si="4"/>
        <v>1020.8249999999999</v>
      </c>
      <c r="L31" s="115"/>
      <c r="M31" s="126">
        <v>7003</v>
      </c>
      <c r="O31" s="116">
        <f t="shared" si="5"/>
        <v>-5982.1750000000002</v>
      </c>
      <c r="P31" s="117"/>
      <c r="Q31" s="116">
        <f>0.02*Q29</f>
        <v>8562.7999999999993</v>
      </c>
    </row>
    <row r="32" spans="1:17" x14ac:dyDescent="0.45">
      <c r="A32" s="113"/>
      <c r="B32" s="113"/>
      <c r="C32" s="113"/>
      <c r="D32" s="113"/>
      <c r="E32" s="113"/>
      <c r="F32" s="113" t="s">
        <v>168</v>
      </c>
      <c r="G32" s="114">
        <v>17018.580000000002</v>
      </c>
      <c r="H32" s="114"/>
      <c r="I32" s="114">
        <f t="shared" si="3"/>
        <v>8509.2900000000009</v>
      </c>
      <c r="J32" s="114"/>
      <c r="K32" s="114">
        <f t="shared" si="4"/>
        <v>25527.870000000003</v>
      </c>
      <c r="L32" s="115"/>
      <c r="M32" s="126">
        <v>26785</v>
      </c>
      <c r="O32" s="116">
        <f t="shared" si="5"/>
        <v>-1257.1299999999974</v>
      </c>
      <c r="P32" s="117"/>
      <c r="Q32" s="116">
        <f>0.0765*Q29</f>
        <v>32752.71</v>
      </c>
    </row>
    <row r="33" spans="1:17" x14ac:dyDescent="0.45">
      <c r="A33" s="113"/>
      <c r="B33" s="113"/>
      <c r="C33" s="113"/>
      <c r="D33" s="113"/>
      <c r="E33" s="113"/>
      <c r="F33" s="113" t="s">
        <v>169</v>
      </c>
      <c r="G33" s="114">
        <v>13127.98</v>
      </c>
      <c r="H33" s="114"/>
      <c r="I33" s="114">
        <f t="shared" si="3"/>
        <v>6563.99</v>
      </c>
      <c r="J33" s="114"/>
      <c r="K33" s="114">
        <f t="shared" si="4"/>
        <v>19691.97</v>
      </c>
      <c r="L33" s="115"/>
      <c r="M33" s="126">
        <v>46200</v>
      </c>
      <c r="O33" s="116">
        <f t="shared" si="5"/>
        <v>-26508.03</v>
      </c>
      <c r="P33" s="117"/>
      <c r="Q33" s="116">
        <f>'Payroll FY2024'!J19</f>
        <v>45060</v>
      </c>
    </row>
    <row r="34" spans="1:17" x14ac:dyDescent="0.45">
      <c r="A34" s="113"/>
      <c r="B34" s="113"/>
      <c r="C34" s="113"/>
      <c r="D34" s="113"/>
      <c r="E34" s="113"/>
      <c r="F34" s="113" t="s">
        <v>170</v>
      </c>
      <c r="G34" s="114"/>
      <c r="H34" s="114"/>
      <c r="I34" s="114">
        <f t="shared" si="3"/>
        <v>0</v>
      </c>
      <c r="J34" s="114"/>
      <c r="K34" s="114">
        <f t="shared" si="4"/>
        <v>0</v>
      </c>
      <c r="L34" s="115"/>
      <c r="M34" s="126">
        <v>4202</v>
      </c>
      <c r="O34" s="116">
        <f t="shared" si="5"/>
        <v>-4202</v>
      </c>
      <c r="P34" s="117"/>
      <c r="Q34" s="116">
        <f>0.012*Q29</f>
        <v>5137.68</v>
      </c>
    </row>
    <row r="35" spans="1:17" x14ac:dyDescent="0.45">
      <c r="A35" s="113"/>
      <c r="B35" s="113"/>
      <c r="C35" s="113"/>
      <c r="D35" s="113"/>
      <c r="E35" s="113"/>
      <c r="F35" s="113" t="s">
        <v>171</v>
      </c>
      <c r="G35" s="114"/>
      <c r="H35" s="114"/>
      <c r="I35" s="114">
        <f t="shared" si="3"/>
        <v>0</v>
      </c>
      <c r="J35" s="114"/>
      <c r="K35" s="114">
        <f t="shared" si="4"/>
        <v>0</v>
      </c>
      <c r="L35" s="115"/>
      <c r="M35" s="126">
        <v>500</v>
      </c>
      <c r="O35" s="116">
        <f t="shared" si="5"/>
        <v>-500</v>
      </c>
      <c r="P35" s="117"/>
      <c r="Q35" s="116">
        <f t="shared" si="6"/>
        <v>0</v>
      </c>
    </row>
    <row r="36" spans="1:17" x14ac:dyDescent="0.45">
      <c r="A36" s="113"/>
      <c r="B36" s="113"/>
      <c r="C36" s="113"/>
      <c r="D36" s="113"/>
      <c r="E36" s="113"/>
      <c r="F36" s="113" t="s">
        <v>172</v>
      </c>
      <c r="G36" s="114">
        <v>2484.2800000000002</v>
      </c>
      <c r="H36" s="114"/>
      <c r="I36" s="114">
        <f t="shared" si="3"/>
        <v>1242.1400000000001</v>
      </c>
      <c r="J36" s="114"/>
      <c r="K36" s="114">
        <f t="shared" si="4"/>
        <v>3726.42</v>
      </c>
      <c r="L36" s="115"/>
      <c r="M36" s="126">
        <v>9800</v>
      </c>
      <c r="O36" s="116">
        <f t="shared" si="5"/>
        <v>-6073.58</v>
      </c>
      <c r="P36" s="117"/>
      <c r="Q36" s="116">
        <f t="shared" si="6"/>
        <v>3726.42</v>
      </c>
    </row>
    <row r="37" spans="1:17" x14ac:dyDescent="0.45">
      <c r="A37" s="113"/>
      <c r="B37" s="113"/>
      <c r="C37" s="113"/>
      <c r="D37" s="113"/>
      <c r="E37" s="113"/>
      <c r="F37" s="113" t="s">
        <v>173</v>
      </c>
      <c r="G37" s="114">
        <v>33680.53</v>
      </c>
      <c r="H37" s="114"/>
      <c r="I37" s="114">
        <f t="shared" si="3"/>
        <v>16840.264999999999</v>
      </c>
      <c r="J37" s="114"/>
      <c r="K37" s="114">
        <f t="shared" si="4"/>
        <v>50520.794999999998</v>
      </c>
      <c r="L37" s="115"/>
      <c r="M37" s="126">
        <v>61000</v>
      </c>
      <c r="O37" s="116">
        <f t="shared" si="5"/>
        <v>-10479.205000000002</v>
      </c>
      <c r="P37" s="117"/>
      <c r="Q37" s="116">
        <f t="shared" si="6"/>
        <v>50520.794999999998</v>
      </c>
    </row>
    <row r="38" spans="1:17" x14ac:dyDescent="0.45">
      <c r="A38" s="113"/>
      <c r="B38" s="113"/>
      <c r="C38" s="113"/>
      <c r="D38" s="113"/>
      <c r="E38" s="113"/>
      <c r="F38" s="113" t="s">
        <v>174</v>
      </c>
      <c r="G38" s="114">
        <v>5402.22</v>
      </c>
      <c r="H38" s="114"/>
      <c r="I38" s="114">
        <f t="shared" si="3"/>
        <v>2701.11</v>
      </c>
      <c r="J38" s="114"/>
      <c r="K38" s="114">
        <f t="shared" si="4"/>
        <v>8103.33</v>
      </c>
      <c r="L38" s="115"/>
      <c r="M38" s="126">
        <v>6000</v>
      </c>
      <c r="O38" s="116">
        <f t="shared" si="5"/>
        <v>2103.33</v>
      </c>
      <c r="P38" s="117"/>
      <c r="Q38" s="116">
        <f t="shared" si="6"/>
        <v>8103.33</v>
      </c>
    </row>
    <row r="39" spans="1:17" x14ac:dyDescent="0.45">
      <c r="A39" s="113"/>
      <c r="B39" s="113"/>
      <c r="C39" s="113"/>
      <c r="D39" s="113"/>
      <c r="E39" s="113"/>
      <c r="F39" s="113" t="s">
        <v>175</v>
      </c>
      <c r="G39" s="114">
        <v>195.69</v>
      </c>
      <c r="H39" s="114"/>
      <c r="I39" s="114">
        <f t="shared" si="3"/>
        <v>97.844999999999999</v>
      </c>
      <c r="J39" s="114"/>
      <c r="K39" s="114">
        <f t="shared" si="4"/>
        <v>293.53499999999997</v>
      </c>
      <c r="L39" s="115"/>
      <c r="M39" s="126">
        <v>1500</v>
      </c>
      <c r="O39" s="116">
        <f t="shared" si="5"/>
        <v>-1206.4650000000001</v>
      </c>
      <c r="P39" s="117"/>
      <c r="Q39" s="116">
        <f t="shared" si="6"/>
        <v>293.53499999999985</v>
      </c>
    </row>
    <row r="40" spans="1:17" x14ac:dyDescent="0.45">
      <c r="A40" s="113"/>
      <c r="B40" s="113"/>
      <c r="C40" s="113"/>
      <c r="D40" s="113"/>
      <c r="E40" s="113"/>
      <c r="F40" s="113" t="s">
        <v>176</v>
      </c>
      <c r="G40" s="114">
        <v>556.29</v>
      </c>
      <c r="H40" s="114"/>
      <c r="I40" s="114">
        <f t="shared" si="3"/>
        <v>278.14499999999998</v>
      </c>
      <c r="J40" s="114"/>
      <c r="K40" s="114">
        <f t="shared" si="4"/>
        <v>834.43499999999995</v>
      </c>
      <c r="L40" s="115"/>
      <c r="M40" s="126">
        <v>3000</v>
      </c>
      <c r="O40" s="116">
        <f t="shared" si="5"/>
        <v>-2165.5650000000001</v>
      </c>
      <c r="P40" s="117"/>
      <c r="Q40" s="116">
        <f t="shared" si="6"/>
        <v>834.43499999999995</v>
      </c>
    </row>
    <row r="41" spans="1:17" x14ac:dyDescent="0.45">
      <c r="A41" s="113"/>
      <c r="B41" s="113"/>
      <c r="C41" s="113"/>
      <c r="D41" s="113"/>
      <c r="E41" s="113"/>
      <c r="F41" s="113" t="s">
        <v>177</v>
      </c>
      <c r="G41" s="114">
        <v>774.68</v>
      </c>
      <c r="H41" s="114"/>
      <c r="I41" s="114">
        <f t="shared" si="3"/>
        <v>387.34</v>
      </c>
      <c r="J41" s="114"/>
      <c r="K41" s="114">
        <f t="shared" si="4"/>
        <v>1162.02</v>
      </c>
      <c r="L41" s="115"/>
      <c r="M41" s="126">
        <v>4000</v>
      </c>
      <c r="O41" s="116">
        <f t="shared" si="5"/>
        <v>-2837.98</v>
      </c>
      <c r="P41" s="117"/>
      <c r="Q41" s="116">
        <f t="shared" si="6"/>
        <v>1162.02</v>
      </c>
    </row>
    <row r="42" spans="1:17" x14ac:dyDescent="0.45">
      <c r="A42" s="113"/>
      <c r="B42" s="113"/>
      <c r="C42" s="113"/>
      <c r="D42" s="113"/>
      <c r="E42" s="113"/>
      <c r="F42" s="113" t="s">
        <v>178</v>
      </c>
      <c r="G42" s="114"/>
      <c r="H42" s="114"/>
      <c r="I42" s="114">
        <f t="shared" si="3"/>
        <v>0</v>
      </c>
      <c r="J42" s="114"/>
      <c r="K42" s="114">
        <f t="shared" si="4"/>
        <v>0</v>
      </c>
      <c r="L42" s="115"/>
      <c r="M42" s="126">
        <v>1000</v>
      </c>
      <c r="O42" s="116">
        <f t="shared" si="5"/>
        <v>-1000</v>
      </c>
      <c r="P42" s="117"/>
      <c r="Q42" s="116">
        <f t="shared" si="6"/>
        <v>0</v>
      </c>
    </row>
    <row r="43" spans="1:17" x14ac:dyDescent="0.45">
      <c r="A43" s="113"/>
      <c r="B43" s="113"/>
      <c r="C43" s="113"/>
      <c r="D43" s="113"/>
      <c r="E43" s="113"/>
      <c r="F43" s="113" t="s">
        <v>179</v>
      </c>
      <c r="G43" s="114">
        <v>37308.03</v>
      </c>
      <c r="H43" s="114"/>
      <c r="I43" s="114">
        <f t="shared" si="3"/>
        <v>18654.014999999999</v>
      </c>
      <c r="J43" s="114"/>
      <c r="K43" s="114">
        <f t="shared" si="4"/>
        <v>55962.044999999998</v>
      </c>
      <c r="L43" s="115"/>
      <c r="M43" s="126">
        <v>38890</v>
      </c>
      <c r="O43" s="116">
        <f t="shared" si="5"/>
        <v>17072.044999999998</v>
      </c>
      <c r="P43" s="117"/>
      <c r="Q43" s="116">
        <f t="shared" si="6"/>
        <v>55962.044999999998</v>
      </c>
    </row>
    <row r="44" spans="1:17" x14ac:dyDescent="0.45">
      <c r="A44" s="113"/>
      <c r="B44" s="113"/>
      <c r="C44" s="113"/>
      <c r="D44" s="113"/>
      <c r="E44" s="113"/>
      <c r="F44" s="113" t="s">
        <v>180</v>
      </c>
      <c r="G44" s="114">
        <v>20256.63</v>
      </c>
      <c r="H44" s="114"/>
      <c r="I44" s="114">
        <f t="shared" si="3"/>
        <v>10128.315000000001</v>
      </c>
      <c r="J44" s="114"/>
      <c r="K44" s="114">
        <f t="shared" si="4"/>
        <v>30384.945</v>
      </c>
      <c r="L44" s="115"/>
      <c r="M44" s="126">
        <v>18000</v>
      </c>
      <c r="O44" s="116">
        <f t="shared" si="5"/>
        <v>12384.945</v>
      </c>
      <c r="P44" s="117"/>
      <c r="Q44" s="116">
        <f t="shared" si="6"/>
        <v>30384.945</v>
      </c>
    </row>
    <row r="45" spans="1:17" x14ac:dyDescent="0.45">
      <c r="A45" s="113"/>
      <c r="B45" s="113"/>
      <c r="C45" s="113"/>
      <c r="D45" s="113"/>
      <c r="E45" s="113"/>
      <c r="F45" s="113" t="s">
        <v>181</v>
      </c>
      <c r="G45" s="114">
        <v>505.61</v>
      </c>
      <c r="H45" s="114"/>
      <c r="I45" s="114">
        <f t="shared" si="3"/>
        <v>252.80500000000001</v>
      </c>
      <c r="J45" s="114"/>
      <c r="K45" s="114">
        <f t="shared" si="4"/>
        <v>758.41499999999996</v>
      </c>
      <c r="L45" s="115"/>
      <c r="M45" s="126">
        <v>3000</v>
      </c>
      <c r="O45" s="116">
        <f t="shared" si="5"/>
        <v>-2241.585</v>
      </c>
      <c r="P45" s="117"/>
      <c r="Q45" s="116">
        <f t="shared" si="6"/>
        <v>758.41499999999996</v>
      </c>
    </row>
    <row r="46" spans="1:17" x14ac:dyDescent="0.45">
      <c r="A46" s="113"/>
      <c r="B46" s="113"/>
      <c r="C46" s="113"/>
      <c r="D46" s="113"/>
      <c r="E46" s="113"/>
      <c r="F46" s="113" t="s">
        <v>182</v>
      </c>
      <c r="G46" s="114"/>
      <c r="H46" s="114"/>
      <c r="I46" s="114">
        <f t="shared" si="3"/>
        <v>0</v>
      </c>
      <c r="J46" s="114"/>
      <c r="K46" s="114">
        <f t="shared" si="4"/>
        <v>0</v>
      </c>
      <c r="L46" s="115"/>
      <c r="M46" s="126"/>
      <c r="O46" s="116">
        <f t="shared" si="5"/>
        <v>0</v>
      </c>
      <c r="P46" s="117"/>
      <c r="Q46" s="116">
        <f t="shared" si="6"/>
        <v>0</v>
      </c>
    </row>
    <row r="47" spans="1:17" ht="14.65" thickBot="1" x14ac:dyDescent="0.5">
      <c r="A47" s="113"/>
      <c r="B47" s="113"/>
      <c r="C47" s="113"/>
      <c r="D47" s="113"/>
      <c r="E47" s="113"/>
      <c r="F47" s="113" t="s">
        <v>183</v>
      </c>
      <c r="G47" s="118"/>
      <c r="H47" s="114"/>
      <c r="I47" s="118">
        <f t="shared" si="3"/>
        <v>0</v>
      </c>
      <c r="J47" s="114"/>
      <c r="K47" s="118">
        <f t="shared" si="4"/>
        <v>0</v>
      </c>
      <c r="L47" s="115"/>
      <c r="M47" s="127">
        <v>1545</v>
      </c>
      <c r="O47" s="119">
        <f t="shared" si="5"/>
        <v>-1545</v>
      </c>
      <c r="P47" s="117"/>
      <c r="Q47" s="119">
        <f t="shared" si="6"/>
        <v>0</v>
      </c>
    </row>
    <row r="48" spans="1:17" x14ac:dyDescent="0.45">
      <c r="A48" s="113"/>
      <c r="B48" s="113"/>
      <c r="C48" s="113"/>
      <c r="D48" s="113"/>
      <c r="E48" s="113" t="s">
        <v>184</v>
      </c>
      <c r="F48" s="113"/>
      <c r="G48" s="114">
        <f>ROUND(SUM(G28:G47),5)</f>
        <v>365496.83</v>
      </c>
      <c r="H48" s="114"/>
      <c r="I48" s="114">
        <f>SUM(I29:I47)</f>
        <v>182748.41499999998</v>
      </c>
      <c r="J48" s="114"/>
      <c r="K48" s="114">
        <f>SUM(K29:K47)</f>
        <v>548245.245</v>
      </c>
      <c r="L48" s="115"/>
      <c r="M48" s="126">
        <f>ROUND(SUM(M28:M47),5)</f>
        <v>587554</v>
      </c>
      <c r="O48" s="114">
        <f>SUM(O29:O47)</f>
        <v>-39308.754999999997</v>
      </c>
      <c r="P48" s="117"/>
      <c r="Q48" s="114">
        <f>SUM(Q29:Q47)</f>
        <v>680601.51000000024</v>
      </c>
    </row>
    <row r="49" spans="1:17" x14ac:dyDescent="0.45">
      <c r="A49" s="113"/>
      <c r="B49" s="113"/>
      <c r="C49" s="113"/>
      <c r="D49" s="113"/>
      <c r="E49" s="113" t="s">
        <v>185</v>
      </c>
      <c r="F49" s="113"/>
      <c r="G49" s="114"/>
      <c r="H49" s="114"/>
      <c r="I49" s="114"/>
      <c r="J49" s="114"/>
      <c r="K49" s="114"/>
      <c r="L49" s="115"/>
      <c r="M49" s="126"/>
      <c r="O49" s="117"/>
      <c r="P49" s="117"/>
      <c r="Q49" s="117"/>
    </row>
    <row r="50" spans="1:17" ht="14.65" thickBot="1" x14ac:dyDescent="0.5">
      <c r="A50" s="113"/>
      <c r="B50" s="113"/>
      <c r="C50" s="113"/>
      <c r="D50" s="113"/>
      <c r="E50" s="113"/>
      <c r="F50" s="113" t="s">
        <v>186</v>
      </c>
      <c r="G50" s="118"/>
      <c r="H50" s="114"/>
      <c r="I50" s="118">
        <f>G50/8*4</f>
        <v>0</v>
      </c>
      <c r="J50" s="114"/>
      <c r="K50" s="118">
        <f>G50+I50</f>
        <v>0</v>
      </c>
      <c r="L50" s="115"/>
      <c r="M50" s="127">
        <v>100</v>
      </c>
      <c r="O50" s="119">
        <f>K50-M50</f>
        <v>-100</v>
      </c>
      <c r="P50" s="117"/>
      <c r="Q50" s="119">
        <f>M50+O50</f>
        <v>0</v>
      </c>
    </row>
    <row r="51" spans="1:17" x14ac:dyDescent="0.45">
      <c r="A51" s="113"/>
      <c r="B51" s="113"/>
      <c r="C51" s="113"/>
      <c r="D51" s="113"/>
      <c r="E51" s="113" t="s">
        <v>187</v>
      </c>
      <c r="F51" s="113"/>
      <c r="G51" s="114"/>
      <c r="H51" s="114"/>
      <c r="I51" s="114"/>
      <c r="J51" s="114"/>
      <c r="K51" s="114"/>
      <c r="L51" s="115"/>
      <c r="M51" s="126">
        <f>ROUND(SUM(M49:M50),5)</f>
        <v>100</v>
      </c>
      <c r="O51" s="116">
        <f>SUM(O50)</f>
        <v>-100</v>
      </c>
      <c r="P51" s="117"/>
      <c r="Q51" s="116">
        <f>SUM(Q50)</f>
        <v>0</v>
      </c>
    </row>
    <row r="52" spans="1:17" x14ac:dyDescent="0.45">
      <c r="A52" s="113"/>
      <c r="B52" s="113"/>
      <c r="C52" s="113"/>
      <c r="D52" s="113"/>
      <c r="E52" s="113" t="s">
        <v>188</v>
      </c>
      <c r="F52" s="113"/>
      <c r="G52" s="114"/>
      <c r="H52" s="114"/>
      <c r="I52" s="114"/>
      <c r="J52" s="114"/>
      <c r="K52" s="114"/>
      <c r="L52" s="115"/>
      <c r="M52" s="126"/>
      <c r="O52" s="117"/>
      <c r="P52" s="117"/>
      <c r="Q52" s="117"/>
    </row>
    <row r="53" spans="1:17" x14ac:dyDescent="0.45">
      <c r="A53" s="113"/>
      <c r="B53" s="113"/>
      <c r="C53" s="113"/>
      <c r="D53" s="113"/>
      <c r="E53" s="113"/>
      <c r="F53" s="113" t="s">
        <v>189</v>
      </c>
      <c r="G53" s="114"/>
      <c r="H53" s="114"/>
      <c r="I53" s="114"/>
      <c r="J53" s="114"/>
      <c r="K53" s="114"/>
      <c r="L53" s="115"/>
      <c r="M53" s="126"/>
      <c r="O53" s="117"/>
      <c r="P53" s="117"/>
      <c r="Q53" s="117"/>
    </row>
    <row r="54" spans="1:17" ht="14.65" thickBot="1" x14ac:dyDescent="0.5">
      <c r="A54" s="113"/>
      <c r="B54" s="113"/>
      <c r="C54" s="113"/>
      <c r="D54" s="113"/>
      <c r="E54" s="113"/>
      <c r="F54" s="113" t="s">
        <v>190</v>
      </c>
      <c r="G54" s="118">
        <v>2000</v>
      </c>
      <c r="H54" s="114"/>
      <c r="I54" s="118">
        <v>0</v>
      </c>
      <c r="J54" s="114"/>
      <c r="K54" s="118">
        <f>G54+I54</f>
        <v>2000</v>
      </c>
      <c r="L54" s="115"/>
      <c r="M54" s="127">
        <v>1500</v>
      </c>
      <c r="O54" s="119">
        <f>K54-M54</f>
        <v>500</v>
      </c>
      <c r="P54" s="117"/>
      <c r="Q54" s="119">
        <f>M54+O54</f>
        <v>2000</v>
      </c>
    </row>
    <row r="55" spans="1:17" x14ac:dyDescent="0.45">
      <c r="A55" s="113"/>
      <c r="B55" s="113"/>
      <c r="C55" s="113"/>
      <c r="D55" s="113"/>
      <c r="E55" s="113" t="s">
        <v>191</v>
      </c>
      <c r="F55" s="113"/>
      <c r="G55" s="114">
        <f>ROUND(SUM(G52:G54),5)</f>
        <v>2000</v>
      </c>
      <c r="H55" s="114"/>
      <c r="I55" s="114">
        <f>SUM(I54)</f>
        <v>0</v>
      </c>
      <c r="J55" s="114"/>
      <c r="K55" s="114">
        <f>SUM(K54)</f>
        <v>2000</v>
      </c>
      <c r="L55" s="115"/>
      <c r="M55" s="126">
        <f>ROUND(SUM(M52:M54),5)</f>
        <v>1500</v>
      </c>
      <c r="O55" s="114">
        <f>SUM(O54)</f>
        <v>500</v>
      </c>
      <c r="P55" s="117"/>
      <c r="Q55" s="114">
        <f>SUM(Q54)</f>
        <v>2000</v>
      </c>
    </row>
    <row r="56" spans="1:17" x14ac:dyDescent="0.45">
      <c r="A56" s="113"/>
      <c r="B56" s="113"/>
      <c r="C56" s="113"/>
      <c r="D56" s="113"/>
      <c r="E56" s="113" t="s">
        <v>192</v>
      </c>
      <c r="F56" s="113"/>
      <c r="G56" s="114"/>
      <c r="H56" s="114"/>
      <c r="I56" s="114"/>
      <c r="J56" s="114"/>
      <c r="K56" s="114"/>
      <c r="L56" s="115"/>
      <c r="M56" s="126"/>
      <c r="O56" s="117"/>
      <c r="P56" s="117"/>
      <c r="Q56" s="117"/>
    </row>
    <row r="57" spans="1:17" ht="14.65" thickBot="1" x14ac:dyDescent="0.5">
      <c r="A57" s="113"/>
      <c r="B57" s="113"/>
      <c r="C57" s="113"/>
      <c r="D57" s="113"/>
      <c r="E57" s="113"/>
      <c r="F57" s="113" t="s">
        <v>193</v>
      </c>
      <c r="G57" s="118">
        <v>5000</v>
      </c>
      <c r="H57" s="114"/>
      <c r="I57" s="118">
        <v>0</v>
      </c>
      <c r="J57" s="114"/>
      <c r="K57" s="118">
        <f>G57+I57</f>
        <v>5000</v>
      </c>
      <c r="L57" s="115"/>
      <c r="M57" s="127">
        <v>5000</v>
      </c>
      <c r="O57" s="119">
        <f>K57-M57</f>
        <v>0</v>
      </c>
      <c r="P57" s="117"/>
      <c r="Q57" s="119">
        <f>M57+O57</f>
        <v>5000</v>
      </c>
    </row>
    <row r="58" spans="1:17" x14ac:dyDescent="0.45">
      <c r="A58" s="113"/>
      <c r="B58" s="113"/>
      <c r="C58" s="113"/>
      <c r="D58" s="113"/>
      <c r="E58" s="113" t="s">
        <v>194</v>
      </c>
      <c r="F58" s="113"/>
      <c r="G58" s="114">
        <f>ROUND(SUM(G56:G57),5)</f>
        <v>5000</v>
      </c>
      <c r="H58" s="114"/>
      <c r="I58" s="114"/>
      <c r="J58" s="114"/>
      <c r="K58" s="114">
        <f>SUM(K57)</f>
        <v>5000</v>
      </c>
      <c r="L58" s="115"/>
      <c r="M58" s="126">
        <f>SUM(M57)</f>
        <v>5000</v>
      </c>
      <c r="O58" s="116">
        <f>SUM(O57)</f>
        <v>0</v>
      </c>
      <c r="P58" s="117"/>
      <c r="Q58" s="116">
        <f>SUM(Q57)</f>
        <v>5000</v>
      </c>
    </row>
    <row r="59" spans="1:17" x14ac:dyDescent="0.45">
      <c r="A59" s="113"/>
      <c r="B59" s="113"/>
      <c r="C59" s="113"/>
      <c r="D59" s="113"/>
      <c r="E59" s="113" t="s">
        <v>82</v>
      </c>
      <c r="F59" s="113"/>
      <c r="G59" s="114"/>
      <c r="H59" s="114"/>
      <c r="I59" s="114"/>
      <c r="J59" s="114"/>
      <c r="K59" s="114"/>
      <c r="L59" s="115"/>
      <c r="M59" s="126"/>
      <c r="O59" s="117"/>
      <c r="P59" s="117"/>
      <c r="Q59" s="117"/>
    </row>
    <row r="60" spans="1:17" x14ac:dyDescent="0.45">
      <c r="A60" s="113"/>
      <c r="B60" s="113"/>
      <c r="C60" s="113"/>
      <c r="D60" s="113"/>
      <c r="E60" s="113"/>
      <c r="F60" s="113" t="s">
        <v>195</v>
      </c>
      <c r="G60" s="114">
        <v>148686.79999999999</v>
      </c>
      <c r="H60" s="114"/>
      <c r="I60" s="114">
        <f t="shared" ref="I60:I75" si="7">G60/8*4</f>
        <v>74343.399999999994</v>
      </c>
      <c r="J60" s="114"/>
      <c r="K60" s="114">
        <f t="shared" ref="K60:K76" si="8">G60+I60</f>
        <v>223030.19999999998</v>
      </c>
      <c r="L60" s="115"/>
      <c r="M60" s="126">
        <v>232000</v>
      </c>
      <c r="O60" s="116">
        <f t="shared" ref="O60:O76" si="9">K60-M60</f>
        <v>-8969.8000000000175</v>
      </c>
      <c r="P60" s="117"/>
      <c r="Q60" s="116">
        <f>'Payroll FY2024'!H26</f>
        <v>168500</v>
      </c>
    </row>
    <row r="61" spans="1:17" x14ac:dyDescent="0.45">
      <c r="A61" s="113"/>
      <c r="B61" s="113"/>
      <c r="C61" s="113"/>
      <c r="D61" s="113"/>
      <c r="E61" s="113"/>
      <c r="F61" s="113" t="s">
        <v>196</v>
      </c>
      <c r="G61" s="114"/>
      <c r="H61" s="114"/>
      <c r="I61" s="114">
        <f t="shared" si="7"/>
        <v>0</v>
      </c>
      <c r="J61" s="114"/>
      <c r="K61" s="114">
        <f t="shared" si="8"/>
        <v>0</v>
      </c>
      <c r="L61" s="115"/>
      <c r="M61" s="126">
        <v>4640</v>
      </c>
      <c r="O61" s="116">
        <f t="shared" si="9"/>
        <v>-4640</v>
      </c>
      <c r="P61" s="117"/>
      <c r="Q61" s="116">
        <f>0.02*Q60</f>
        <v>3370</v>
      </c>
    </row>
    <row r="62" spans="1:17" x14ac:dyDescent="0.45">
      <c r="A62" s="113"/>
      <c r="B62" s="113"/>
      <c r="C62" s="113"/>
      <c r="D62" s="113"/>
      <c r="E62" s="113"/>
      <c r="F62" s="113" t="s">
        <v>197</v>
      </c>
      <c r="G62" s="114">
        <v>11374.58</v>
      </c>
      <c r="H62" s="114"/>
      <c r="I62" s="114">
        <f t="shared" si="7"/>
        <v>5687.29</v>
      </c>
      <c r="J62" s="114"/>
      <c r="K62" s="114">
        <f t="shared" si="8"/>
        <v>17061.87</v>
      </c>
      <c r="L62" s="115"/>
      <c r="M62" s="126">
        <v>17748</v>
      </c>
      <c r="O62" s="116">
        <f t="shared" si="9"/>
        <v>-686.13000000000102</v>
      </c>
      <c r="P62" s="117"/>
      <c r="Q62" s="116">
        <f>0.0765*Q60</f>
        <v>12890.25</v>
      </c>
    </row>
    <row r="63" spans="1:17" x14ac:dyDescent="0.45">
      <c r="A63" s="113"/>
      <c r="B63" s="113"/>
      <c r="C63" s="113"/>
      <c r="D63" s="113"/>
      <c r="E63" s="113"/>
      <c r="F63" s="113" t="s">
        <v>198</v>
      </c>
      <c r="G63" s="114">
        <v>6705.93</v>
      </c>
      <c r="H63" s="114"/>
      <c r="I63" s="114">
        <f t="shared" si="7"/>
        <v>3352.9650000000001</v>
      </c>
      <c r="J63" s="114"/>
      <c r="K63" s="114">
        <f t="shared" si="8"/>
        <v>10058.895</v>
      </c>
      <c r="L63" s="115"/>
      <c r="M63" s="126">
        <v>12792</v>
      </c>
      <c r="O63" s="116">
        <f t="shared" si="9"/>
        <v>-2733.1049999999996</v>
      </c>
      <c r="P63" s="117"/>
      <c r="Q63" s="116">
        <f>'Payroll FY2024'!J26</f>
        <v>7200</v>
      </c>
    </row>
    <row r="64" spans="1:17" x14ac:dyDescent="0.45">
      <c r="A64" s="113"/>
      <c r="B64" s="113"/>
      <c r="C64" s="113"/>
      <c r="D64" s="113"/>
      <c r="E64" s="113"/>
      <c r="F64" s="113" t="s">
        <v>199</v>
      </c>
      <c r="G64" s="114"/>
      <c r="H64" s="114"/>
      <c r="I64" s="114">
        <f t="shared" si="7"/>
        <v>0</v>
      </c>
      <c r="J64" s="114"/>
      <c r="K64" s="114">
        <f t="shared" si="8"/>
        <v>0</v>
      </c>
      <c r="L64" s="115"/>
      <c r="M64" s="126">
        <v>3300</v>
      </c>
      <c r="O64" s="116">
        <f t="shared" si="9"/>
        <v>-3300</v>
      </c>
      <c r="P64" s="117"/>
      <c r="Q64" s="116">
        <f t="shared" ref="Q64:Q75" si="10">M64+O64</f>
        <v>0</v>
      </c>
    </row>
    <row r="65" spans="1:17" x14ac:dyDescent="0.45">
      <c r="A65" s="113"/>
      <c r="B65" s="113"/>
      <c r="C65" s="113"/>
      <c r="D65" s="113"/>
      <c r="E65" s="113"/>
      <c r="F65" s="113" t="s">
        <v>200</v>
      </c>
      <c r="G65" s="114"/>
      <c r="H65" s="114"/>
      <c r="I65" s="114">
        <f t="shared" si="7"/>
        <v>0</v>
      </c>
      <c r="J65" s="114"/>
      <c r="K65" s="114">
        <f t="shared" si="8"/>
        <v>0</v>
      </c>
      <c r="L65" s="115"/>
      <c r="M65" s="126">
        <v>2320</v>
      </c>
      <c r="O65" s="116">
        <f t="shared" si="9"/>
        <v>-2320</v>
      </c>
      <c r="P65" s="117"/>
      <c r="Q65" s="116">
        <f>0.012*Q60</f>
        <v>2022</v>
      </c>
    </row>
    <row r="66" spans="1:17" x14ac:dyDescent="0.45">
      <c r="A66" s="113"/>
      <c r="B66" s="113"/>
      <c r="C66" s="113"/>
      <c r="D66" s="113"/>
      <c r="E66" s="113"/>
      <c r="F66" s="113" t="s">
        <v>201</v>
      </c>
      <c r="G66" s="114"/>
      <c r="H66" s="114"/>
      <c r="I66" s="114">
        <f t="shared" si="7"/>
        <v>0</v>
      </c>
      <c r="J66" s="114"/>
      <c r="K66" s="114">
        <f t="shared" si="8"/>
        <v>0</v>
      </c>
      <c r="L66" s="115"/>
      <c r="M66" s="126"/>
      <c r="O66" s="116">
        <f t="shared" si="9"/>
        <v>0</v>
      </c>
      <c r="P66" s="117"/>
      <c r="Q66" s="116">
        <f t="shared" si="10"/>
        <v>0</v>
      </c>
    </row>
    <row r="67" spans="1:17" x14ac:dyDescent="0.45">
      <c r="A67" s="113"/>
      <c r="B67" s="113"/>
      <c r="C67" s="113"/>
      <c r="D67" s="113"/>
      <c r="E67" s="113"/>
      <c r="F67" s="113" t="s">
        <v>202</v>
      </c>
      <c r="G67" s="114">
        <v>524.44000000000005</v>
      </c>
      <c r="H67" s="114"/>
      <c r="I67" s="114">
        <f t="shared" si="7"/>
        <v>262.22000000000003</v>
      </c>
      <c r="J67" s="114"/>
      <c r="K67" s="114">
        <f t="shared" si="8"/>
        <v>786.66000000000008</v>
      </c>
      <c r="L67" s="115"/>
      <c r="M67" s="126"/>
      <c r="O67" s="116">
        <f t="shared" si="9"/>
        <v>786.66000000000008</v>
      </c>
      <c r="P67" s="117"/>
      <c r="Q67" s="116">
        <f t="shared" si="10"/>
        <v>786.66000000000008</v>
      </c>
    </row>
    <row r="68" spans="1:17" x14ac:dyDescent="0.45">
      <c r="A68" s="113"/>
      <c r="B68" s="113"/>
      <c r="C68" s="113"/>
      <c r="D68" s="113"/>
      <c r="E68" s="113"/>
      <c r="F68" s="113" t="s">
        <v>203</v>
      </c>
      <c r="G68" s="114">
        <v>716.24</v>
      </c>
      <c r="H68" s="114"/>
      <c r="I68" s="114">
        <f t="shared" si="7"/>
        <v>358.12</v>
      </c>
      <c r="J68" s="114"/>
      <c r="K68" s="114">
        <f t="shared" si="8"/>
        <v>1074.3600000000001</v>
      </c>
      <c r="L68" s="115"/>
      <c r="M68" s="126">
        <v>500</v>
      </c>
      <c r="O68" s="116">
        <f t="shared" si="9"/>
        <v>574.36000000000013</v>
      </c>
      <c r="P68" s="117"/>
      <c r="Q68" s="116">
        <f t="shared" si="10"/>
        <v>1074.3600000000001</v>
      </c>
    </row>
    <row r="69" spans="1:17" x14ac:dyDescent="0.45">
      <c r="A69" s="113"/>
      <c r="B69" s="113"/>
      <c r="C69" s="113"/>
      <c r="D69" s="113"/>
      <c r="E69" s="113"/>
      <c r="F69" s="113" t="s">
        <v>204</v>
      </c>
      <c r="G69" s="114">
        <v>53.79</v>
      </c>
      <c r="H69" s="114"/>
      <c r="I69" s="114">
        <f t="shared" si="7"/>
        <v>26.895</v>
      </c>
      <c r="J69" s="114"/>
      <c r="K69" s="114">
        <f t="shared" si="8"/>
        <v>80.685000000000002</v>
      </c>
      <c r="L69" s="115"/>
      <c r="M69" s="126">
        <v>1000</v>
      </c>
      <c r="O69" s="116">
        <f t="shared" si="9"/>
        <v>-919.31500000000005</v>
      </c>
      <c r="P69" s="117"/>
      <c r="Q69" s="116">
        <f t="shared" si="10"/>
        <v>80.684999999999945</v>
      </c>
    </row>
    <row r="70" spans="1:17" x14ac:dyDescent="0.45">
      <c r="A70" s="113"/>
      <c r="B70" s="113"/>
      <c r="C70" s="113"/>
      <c r="D70" s="113"/>
      <c r="E70" s="113"/>
      <c r="F70" s="113" t="s">
        <v>205</v>
      </c>
      <c r="G70" s="114">
        <v>24761.9</v>
      </c>
      <c r="H70" s="114"/>
      <c r="I70" s="114">
        <f t="shared" si="7"/>
        <v>12380.95</v>
      </c>
      <c r="J70" s="114"/>
      <c r="K70" s="114">
        <f t="shared" si="8"/>
        <v>37142.850000000006</v>
      </c>
      <c r="L70" s="115"/>
      <c r="M70" s="126">
        <v>20000</v>
      </c>
      <c r="O70" s="116">
        <f t="shared" si="9"/>
        <v>17142.850000000006</v>
      </c>
      <c r="P70" s="117"/>
      <c r="Q70" s="116">
        <f t="shared" si="10"/>
        <v>37142.850000000006</v>
      </c>
    </row>
    <row r="71" spans="1:17" x14ac:dyDescent="0.45">
      <c r="A71" s="113"/>
      <c r="B71" s="113"/>
      <c r="C71" s="113"/>
      <c r="D71" s="113"/>
      <c r="E71" s="113"/>
      <c r="F71" s="113" t="s">
        <v>206</v>
      </c>
      <c r="G71" s="114">
        <v>1668.9</v>
      </c>
      <c r="H71" s="114"/>
      <c r="I71" s="114">
        <f t="shared" si="7"/>
        <v>834.45</v>
      </c>
      <c r="J71" s="114"/>
      <c r="K71" s="114">
        <f t="shared" si="8"/>
        <v>2503.3500000000004</v>
      </c>
      <c r="L71" s="115"/>
      <c r="M71" s="126">
        <v>500</v>
      </c>
      <c r="O71" s="116">
        <f t="shared" si="9"/>
        <v>2003.3500000000004</v>
      </c>
      <c r="P71" s="117"/>
      <c r="Q71" s="116">
        <f t="shared" si="10"/>
        <v>2503.3500000000004</v>
      </c>
    </row>
    <row r="72" spans="1:17" x14ac:dyDescent="0.45">
      <c r="A72" s="113"/>
      <c r="B72" s="113"/>
      <c r="C72" s="113"/>
      <c r="D72" s="113"/>
      <c r="E72" s="113"/>
      <c r="F72" s="113" t="s">
        <v>207</v>
      </c>
      <c r="G72" s="114">
        <v>54.99</v>
      </c>
      <c r="H72" s="114"/>
      <c r="I72" s="114">
        <f t="shared" si="7"/>
        <v>27.495000000000001</v>
      </c>
      <c r="J72" s="114"/>
      <c r="K72" s="114">
        <f t="shared" si="8"/>
        <v>82.484999999999999</v>
      </c>
      <c r="L72" s="115"/>
      <c r="M72" s="126">
        <v>200</v>
      </c>
      <c r="O72" s="116">
        <f t="shared" si="9"/>
        <v>-117.515</v>
      </c>
      <c r="P72" s="117"/>
      <c r="Q72" s="116">
        <f t="shared" si="10"/>
        <v>82.484999999999999</v>
      </c>
    </row>
    <row r="73" spans="1:17" x14ac:dyDescent="0.45">
      <c r="A73" s="113"/>
      <c r="B73" s="113"/>
      <c r="C73" s="113"/>
      <c r="D73" s="113"/>
      <c r="E73" s="113"/>
      <c r="F73" s="113" t="s">
        <v>208</v>
      </c>
      <c r="G73" s="114">
        <v>3689.35</v>
      </c>
      <c r="H73" s="114"/>
      <c r="I73" s="114">
        <f t="shared" si="7"/>
        <v>1844.675</v>
      </c>
      <c r="J73" s="114"/>
      <c r="K73" s="114">
        <f t="shared" si="8"/>
        <v>5534.0249999999996</v>
      </c>
      <c r="L73" s="115"/>
      <c r="M73" s="126">
        <v>700</v>
      </c>
      <c r="O73" s="116">
        <f t="shared" si="9"/>
        <v>4834.0249999999996</v>
      </c>
      <c r="P73" s="117"/>
      <c r="Q73" s="116">
        <f t="shared" si="10"/>
        <v>5534.0249999999996</v>
      </c>
    </row>
    <row r="74" spans="1:17" x14ac:dyDescent="0.45">
      <c r="A74" s="113"/>
      <c r="B74" s="113"/>
      <c r="C74" s="113"/>
      <c r="D74" s="113"/>
      <c r="E74" s="113"/>
      <c r="F74" s="113" t="s">
        <v>209</v>
      </c>
      <c r="G74" s="114">
        <v>240</v>
      </c>
      <c r="H74" s="114"/>
      <c r="I74" s="114">
        <f t="shared" si="7"/>
        <v>120</v>
      </c>
      <c r="J74" s="114"/>
      <c r="K74" s="114">
        <f t="shared" si="8"/>
        <v>360</v>
      </c>
      <c r="L74" s="115"/>
      <c r="M74" s="126">
        <v>200</v>
      </c>
      <c r="O74" s="116">
        <f t="shared" si="9"/>
        <v>160</v>
      </c>
      <c r="P74" s="117"/>
      <c r="Q74" s="116">
        <f t="shared" si="10"/>
        <v>360</v>
      </c>
    </row>
    <row r="75" spans="1:17" x14ac:dyDescent="0.45">
      <c r="A75" s="113"/>
      <c r="B75" s="113"/>
      <c r="C75" s="113"/>
      <c r="D75" s="113"/>
      <c r="E75" s="113"/>
      <c r="F75" s="113" t="s">
        <v>210</v>
      </c>
      <c r="G75" s="114"/>
      <c r="H75" s="114"/>
      <c r="I75" s="114">
        <f t="shared" si="7"/>
        <v>0</v>
      </c>
      <c r="J75" s="114"/>
      <c r="K75" s="114">
        <f t="shared" si="8"/>
        <v>0</v>
      </c>
      <c r="L75" s="115"/>
      <c r="M75" s="126"/>
      <c r="O75" s="116">
        <f t="shared" si="9"/>
        <v>0</v>
      </c>
      <c r="P75" s="117"/>
      <c r="Q75" s="116">
        <f t="shared" si="10"/>
        <v>0</v>
      </c>
    </row>
    <row r="76" spans="1:17" ht="14.65" thickBot="1" x14ac:dyDescent="0.5">
      <c r="A76" s="113"/>
      <c r="B76" s="113"/>
      <c r="C76" s="113"/>
      <c r="D76" s="113"/>
      <c r="E76" s="113"/>
      <c r="F76" s="113" t="s">
        <v>211</v>
      </c>
      <c r="G76" s="118">
        <v>21514.66</v>
      </c>
      <c r="H76" s="114"/>
      <c r="I76" s="118">
        <v>13039.78</v>
      </c>
      <c r="J76" s="114"/>
      <c r="K76" s="118">
        <f t="shared" si="8"/>
        <v>34554.44</v>
      </c>
      <c r="L76" s="115"/>
      <c r="M76" s="127">
        <v>36250</v>
      </c>
      <c r="O76" s="119">
        <f t="shared" si="9"/>
        <v>-1695.5599999999977</v>
      </c>
      <c r="P76" s="117"/>
      <c r="Q76" s="119">
        <f>0.05*Q13</f>
        <v>34554.450000000004</v>
      </c>
    </row>
    <row r="77" spans="1:17" x14ac:dyDescent="0.45">
      <c r="A77" s="113"/>
      <c r="B77" s="113"/>
      <c r="C77" s="113"/>
      <c r="D77" s="113"/>
      <c r="E77" s="113" t="s">
        <v>212</v>
      </c>
      <c r="F77" s="113"/>
      <c r="G77" s="114">
        <f>ROUND(SUM(G59:G76),5)</f>
        <v>219991.58</v>
      </c>
      <c r="H77" s="114"/>
      <c r="I77" s="114">
        <f>SUM(I60:I76)</f>
        <v>112278.23999999998</v>
      </c>
      <c r="J77" s="114"/>
      <c r="K77" s="114">
        <f>SUM(K60:K76)</f>
        <v>332269.81999999995</v>
      </c>
      <c r="L77" s="115"/>
      <c r="M77" s="126">
        <f>ROUND(SUM(M59:M76),5)</f>
        <v>332150</v>
      </c>
      <c r="O77" s="114">
        <f>SUM(O60:O76)</f>
        <v>119.81999999999198</v>
      </c>
      <c r="P77" s="117"/>
      <c r="Q77" s="114">
        <f>SUM(Q60:Q76)</f>
        <v>276101.11499999999</v>
      </c>
    </row>
    <row r="78" spans="1:17" x14ac:dyDescent="0.45">
      <c r="A78" s="113"/>
      <c r="B78" s="113"/>
      <c r="C78" s="113"/>
      <c r="D78" s="113"/>
      <c r="E78" s="113" t="s">
        <v>213</v>
      </c>
      <c r="F78" s="113"/>
      <c r="G78" s="114"/>
      <c r="H78" s="114"/>
      <c r="I78" s="114"/>
      <c r="J78" s="114"/>
      <c r="K78" s="114"/>
      <c r="L78" s="115"/>
      <c r="M78" s="126"/>
      <c r="O78" s="117"/>
      <c r="P78" s="117"/>
      <c r="Q78" s="117"/>
    </row>
    <row r="79" spans="1:17" x14ac:dyDescent="0.45">
      <c r="A79" s="113"/>
      <c r="B79" s="113"/>
      <c r="C79" s="113"/>
      <c r="D79" s="113"/>
      <c r="E79" s="113"/>
      <c r="F79" s="113" t="s">
        <v>214</v>
      </c>
      <c r="G79" s="114"/>
      <c r="H79" s="114"/>
      <c r="I79" s="114">
        <f>G79/8*4</f>
        <v>0</v>
      </c>
      <c r="J79" s="114"/>
      <c r="K79" s="114">
        <f>G79+I79</f>
        <v>0</v>
      </c>
      <c r="L79" s="115"/>
      <c r="M79" s="126">
        <v>0</v>
      </c>
      <c r="O79" s="116">
        <f>K79-M79</f>
        <v>0</v>
      </c>
      <c r="P79" s="117"/>
      <c r="Q79" s="116">
        <f>M79+O79</f>
        <v>0</v>
      </c>
    </row>
    <row r="80" spans="1:17" x14ac:dyDescent="0.45">
      <c r="A80" s="113"/>
      <c r="B80" s="113"/>
      <c r="C80" s="113"/>
      <c r="D80" s="113"/>
      <c r="E80" s="113"/>
      <c r="F80" s="113" t="s">
        <v>215</v>
      </c>
      <c r="G80" s="114">
        <v>6500</v>
      </c>
      <c r="H80" s="114"/>
      <c r="I80" s="114">
        <v>0</v>
      </c>
      <c r="J80" s="114"/>
      <c r="K80" s="114">
        <f>G80+I80</f>
        <v>6500</v>
      </c>
      <c r="L80" s="115"/>
      <c r="M80" s="126">
        <v>6500</v>
      </c>
      <c r="O80" s="116">
        <f>K80-M80</f>
        <v>0</v>
      </c>
      <c r="P80" s="117"/>
      <c r="Q80" s="116">
        <f>M80+O80</f>
        <v>6500</v>
      </c>
    </row>
    <row r="81" spans="1:17" x14ac:dyDescent="0.45">
      <c r="A81" s="113"/>
      <c r="B81" s="113"/>
      <c r="C81" s="113"/>
      <c r="D81" s="113"/>
      <c r="E81" s="113"/>
      <c r="F81" s="113" t="s">
        <v>216</v>
      </c>
      <c r="G81" s="114">
        <v>17600</v>
      </c>
      <c r="H81" s="114"/>
      <c r="I81" s="114">
        <f>G81/8*4</f>
        <v>8800</v>
      </c>
      <c r="J81" s="114"/>
      <c r="K81" s="114">
        <f>G81+I81</f>
        <v>26400</v>
      </c>
      <c r="L81" s="115"/>
      <c r="M81" s="126">
        <v>26400</v>
      </c>
      <c r="O81" s="116">
        <f>K81-M81</f>
        <v>0</v>
      </c>
      <c r="P81" s="117"/>
      <c r="Q81" s="116">
        <f>M81+O81</f>
        <v>26400</v>
      </c>
    </row>
    <row r="82" spans="1:17" x14ac:dyDescent="0.45">
      <c r="A82" s="113"/>
      <c r="B82" s="113"/>
      <c r="C82" s="113"/>
      <c r="D82" s="113"/>
      <c r="E82" s="113"/>
      <c r="F82" s="113" t="s">
        <v>217</v>
      </c>
      <c r="G82" s="114">
        <v>5320.72</v>
      </c>
      <c r="H82" s="114"/>
      <c r="I82" s="114">
        <f>G82/8*4</f>
        <v>2660.36</v>
      </c>
      <c r="J82" s="114"/>
      <c r="K82" s="114">
        <f>G82+I82</f>
        <v>7981.08</v>
      </c>
      <c r="L82" s="115"/>
      <c r="M82" s="126">
        <v>10000</v>
      </c>
      <c r="O82" s="116">
        <f>K82-M82</f>
        <v>-2018.92</v>
      </c>
      <c r="P82" s="117"/>
      <c r="Q82" s="116">
        <f>M82+O82</f>
        <v>7981.08</v>
      </c>
    </row>
    <row r="83" spans="1:17" ht="14.65" thickBot="1" x14ac:dyDescent="0.5">
      <c r="A83" s="113"/>
      <c r="B83" s="113"/>
      <c r="C83" s="113"/>
      <c r="D83" s="113"/>
      <c r="E83" s="113"/>
      <c r="F83" s="113" t="s">
        <v>218</v>
      </c>
      <c r="G83" s="118">
        <v>20884.240000000002</v>
      </c>
      <c r="H83" s="114"/>
      <c r="I83" s="118">
        <f>G83/8*4</f>
        <v>10442.120000000001</v>
      </c>
      <c r="J83" s="114"/>
      <c r="K83" s="118">
        <f>G83+I83</f>
        <v>31326.36</v>
      </c>
      <c r="L83" s="115"/>
      <c r="M83" s="127">
        <v>20000</v>
      </c>
      <c r="O83" s="119">
        <f>K83-M83</f>
        <v>11326.36</v>
      </c>
      <c r="P83" s="117"/>
      <c r="Q83" s="119">
        <f>M83+O83</f>
        <v>31326.36</v>
      </c>
    </row>
    <row r="84" spans="1:17" x14ac:dyDescent="0.45">
      <c r="A84" s="113"/>
      <c r="B84" s="113"/>
      <c r="C84" s="113"/>
      <c r="D84" s="113"/>
      <c r="E84" s="113" t="s">
        <v>219</v>
      </c>
      <c r="F84" s="113"/>
      <c r="G84" s="114">
        <f>ROUND(SUM(G78:G83),5)</f>
        <v>50304.959999999999</v>
      </c>
      <c r="H84" s="114"/>
      <c r="I84" s="114">
        <f>SUM(I79:I83)</f>
        <v>21902.480000000003</v>
      </c>
      <c r="J84" s="114"/>
      <c r="K84" s="114">
        <f>SUM(K79:K83)</f>
        <v>72207.44</v>
      </c>
      <c r="L84" s="115"/>
      <c r="M84" s="126">
        <f>ROUND(SUM(M78:M83),5)</f>
        <v>62900</v>
      </c>
      <c r="O84" s="116">
        <f>SUM(O79:O83)</f>
        <v>9307.44</v>
      </c>
      <c r="P84" s="117"/>
      <c r="Q84" s="116">
        <f>SUM(Q79:Q83)</f>
        <v>72207.44</v>
      </c>
    </row>
    <row r="85" spans="1:17" x14ac:dyDescent="0.45">
      <c r="A85" s="113"/>
      <c r="B85" s="113"/>
      <c r="C85" s="113"/>
      <c r="D85" s="113"/>
      <c r="E85" s="113" t="s">
        <v>220</v>
      </c>
      <c r="F85" s="113"/>
      <c r="G85" s="114"/>
      <c r="H85" s="114"/>
      <c r="I85" s="114"/>
      <c r="J85" s="114"/>
      <c r="K85" s="114"/>
      <c r="L85" s="115"/>
      <c r="M85" s="126"/>
      <c r="O85" s="117"/>
      <c r="P85" s="117"/>
      <c r="Q85" s="117"/>
    </row>
    <row r="86" spans="1:17" x14ac:dyDescent="0.45">
      <c r="A86" s="113"/>
      <c r="B86" s="113"/>
      <c r="C86" s="113"/>
      <c r="D86" s="113"/>
      <c r="E86" s="113"/>
      <c r="F86" s="113" t="s">
        <v>221</v>
      </c>
      <c r="G86" s="114">
        <v>267.27</v>
      </c>
      <c r="H86" s="114"/>
      <c r="I86" s="114">
        <f>G86/8*4</f>
        <v>133.63499999999999</v>
      </c>
      <c r="J86" s="114"/>
      <c r="K86" s="114">
        <f>G86+I86</f>
        <v>400.90499999999997</v>
      </c>
      <c r="L86" s="115"/>
      <c r="M86" s="126"/>
      <c r="O86" s="116">
        <f>K86-M86</f>
        <v>400.90499999999997</v>
      </c>
      <c r="P86" s="117"/>
      <c r="Q86" s="116">
        <f>M86+O86</f>
        <v>400.90499999999997</v>
      </c>
    </row>
    <row r="87" spans="1:17" x14ac:dyDescent="0.45">
      <c r="A87" s="113"/>
      <c r="B87" s="113"/>
      <c r="C87" s="113"/>
      <c r="D87" s="113"/>
      <c r="E87" s="113"/>
      <c r="F87" s="113" t="s">
        <v>222</v>
      </c>
      <c r="G87" s="114">
        <v>3579.52</v>
      </c>
      <c r="H87" s="114"/>
      <c r="I87" s="114">
        <f>G87/8*4</f>
        <v>1789.76</v>
      </c>
      <c r="J87" s="114"/>
      <c r="K87" s="114">
        <f>G87+I87</f>
        <v>5369.28</v>
      </c>
      <c r="L87" s="115"/>
      <c r="M87" s="126"/>
      <c r="O87" s="116">
        <f>K87-M87</f>
        <v>5369.28</v>
      </c>
      <c r="P87" s="117"/>
      <c r="Q87" s="116">
        <f>M87+O87</f>
        <v>5369.28</v>
      </c>
    </row>
    <row r="88" spans="1:17" x14ac:dyDescent="0.45">
      <c r="A88" s="113"/>
      <c r="B88" s="113"/>
      <c r="C88" s="113"/>
      <c r="D88" s="113"/>
      <c r="E88" s="113"/>
      <c r="F88" s="113" t="s">
        <v>223</v>
      </c>
      <c r="G88" s="114">
        <v>238.24</v>
      </c>
      <c r="H88" s="114"/>
      <c r="I88" s="114">
        <f>G88/8*4</f>
        <v>119.12</v>
      </c>
      <c r="J88" s="114"/>
      <c r="K88" s="114">
        <f>G88+I88</f>
        <v>357.36</v>
      </c>
      <c r="L88" s="115"/>
      <c r="M88" s="126"/>
      <c r="O88" s="116">
        <f>K88-M88</f>
        <v>357.36</v>
      </c>
      <c r="P88" s="117"/>
      <c r="Q88" s="116">
        <f>M88+O88</f>
        <v>357.36</v>
      </c>
    </row>
    <row r="89" spans="1:17" x14ac:dyDescent="0.45">
      <c r="A89" s="113"/>
      <c r="B89" s="113"/>
      <c r="C89" s="113"/>
      <c r="D89" s="113"/>
      <c r="E89" s="113"/>
      <c r="F89" s="113" t="s">
        <v>224</v>
      </c>
      <c r="G89" s="114">
        <v>109.94</v>
      </c>
      <c r="H89" s="114"/>
      <c r="I89" s="114">
        <f>G89/8*4</f>
        <v>54.97</v>
      </c>
      <c r="J89" s="114"/>
      <c r="K89" s="114">
        <f>G89+I89</f>
        <v>164.91</v>
      </c>
      <c r="L89" s="115"/>
      <c r="M89" s="126"/>
      <c r="O89" s="116">
        <f>K89-M89</f>
        <v>164.91</v>
      </c>
      <c r="P89" s="117"/>
      <c r="Q89" s="116">
        <f>M89+O89</f>
        <v>164.91</v>
      </c>
    </row>
    <row r="90" spans="1:17" ht="14.65" thickBot="1" x14ac:dyDescent="0.5">
      <c r="A90" s="113"/>
      <c r="B90" s="113"/>
      <c r="C90" s="113"/>
      <c r="D90" s="113"/>
      <c r="E90" s="113"/>
      <c r="F90" s="113" t="s">
        <v>225</v>
      </c>
      <c r="G90" s="118">
        <v>17541.8</v>
      </c>
      <c r="H90" s="114"/>
      <c r="I90" s="118">
        <f>G90/8*4</f>
        <v>8770.9</v>
      </c>
      <c r="J90" s="114"/>
      <c r="K90" s="118">
        <f>G90+I90</f>
        <v>26312.699999999997</v>
      </c>
      <c r="L90" s="115"/>
      <c r="M90" s="127">
        <v>500</v>
      </c>
      <c r="O90" s="119">
        <f>K90-M90</f>
        <v>25812.699999999997</v>
      </c>
      <c r="P90" s="117"/>
      <c r="Q90" s="119">
        <f>M90+O90</f>
        <v>26312.699999999997</v>
      </c>
    </row>
    <row r="91" spans="1:17" x14ac:dyDescent="0.45">
      <c r="A91" s="113"/>
      <c r="B91" s="113"/>
      <c r="C91" s="113"/>
      <c r="D91" s="113"/>
      <c r="E91" s="113" t="s">
        <v>226</v>
      </c>
      <c r="F91" s="113"/>
      <c r="G91" s="114">
        <f>ROUND(SUM(G85:G90),5)</f>
        <v>21736.77</v>
      </c>
      <c r="H91" s="114"/>
      <c r="I91" s="114">
        <f>SUM(I86:I90)</f>
        <v>10868.384999999998</v>
      </c>
      <c r="J91" s="114"/>
      <c r="K91" s="114">
        <f>SUM(K86:K90)</f>
        <v>32605.154999999995</v>
      </c>
      <c r="L91" s="115"/>
      <c r="M91" s="126">
        <f>ROUND(SUM(M85:M90),5)</f>
        <v>500</v>
      </c>
      <c r="O91" s="116">
        <f>SUM(O86:O90)</f>
        <v>32105.154999999995</v>
      </c>
      <c r="P91" s="117"/>
      <c r="Q91" s="116">
        <f>SUM(Q86:Q90)</f>
        <v>32605.154999999995</v>
      </c>
    </row>
    <row r="92" spans="1:17" x14ac:dyDescent="0.45">
      <c r="A92" s="113"/>
      <c r="B92" s="113"/>
      <c r="C92" s="113"/>
      <c r="D92" s="113"/>
      <c r="E92" s="113" t="s">
        <v>227</v>
      </c>
      <c r="F92" s="113"/>
      <c r="G92" s="114"/>
      <c r="H92" s="114"/>
      <c r="I92" s="114"/>
      <c r="J92" s="114"/>
      <c r="K92" s="114"/>
      <c r="L92" s="115"/>
      <c r="M92" s="126"/>
      <c r="O92" s="117"/>
      <c r="P92" s="117"/>
      <c r="Q92" s="117"/>
    </row>
    <row r="93" spans="1:17" x14ac:dyDescent="0.45">
      <c r="A93" s="113"/>
      <c r="B93" s="113"/>
      <c r="C93" s="113"/>
      <c r="D93" s="113"/>
      <c r="E93" s="113"/>
      <c r="F93" s="113" t="s">
        <v>228</v>
      </c>
      <c r="G93" s="114">
        <v>649.28</v>
      </c>
      <c r="H93" s="114"/>
      <c r="I93" s="114">
        <f>G93/8*4</f>
        <v>324.64</v>
      </c>
      <c r="J93" s="114"/>
      <c r="K93" s="114">
        <f>G93+I93</f>
        <v>973.92</v>
      </c>
      <c r="L93" s="115"/>
      <c r="M93" s="126"/>
      <c r="O93" s="116">
        <f>K93-M93</f>
        <v>973.92</v>
      </c>
      <c r="P93" s="117"/>
      <c r="Q93" s="116">
        <f>M93+O93</f>
        <v>973.92</v>
      </c>
    </row>
    <row r="94" spans="1:17" ht="14.65" thickBot="1" x14ac:dyDescent="0.5">
      <c r="A94" s="113"/>
      <c r="B94" s="113"/>
      <c r="C94" s="113"/>
      <c r="D94" s="113"/>
      <c r="E94" s="113"/>
      <c r="F94" s="113" t="s">
        <v>229</v>
      </c>
      <c r="G94" s="118">
        <v>2010.68</v>
      </c>
      <c r="H94" s="114"/>
      <c r="I94" s="118">
        <f>G94/8*4</f>
        <v>1005.34</v>
      </c>
      <c r="J94" s="114"/>
      <c r="K94" s="118">
        <f>G94+I94</f>
        <v>3016.02</v>
      </c>
      <c r="L94" s="115"/>
      <c r="M94" s="127">
        <v>2000</v>
      </c>
      <c r="O94" s="119">
        <f>K94-M94</f>
        <v>1016.02</v>
      </c>
      <c r="P94" s="117"/>
      <c r="Q94" s="119">
        <f>M94+O94</f>
        <v>3016.02</v>
      </c>
    </row>
    <row r="95" spans="1:17" x14ac:dyDescent="0.45">
      <c r="A95" s="113"/>
      <c r="B95" s="113"/>
      <c r="C95" s="113"/>
      <c r="D95" s="113"/>
      <c r="E95" s="113" t="s">
        <v>230</v>
      </c>
      <c r="F95" s="113"/>
      <c r="G95" s="114">
        <f>ROUND(SUM(G92:G94),5)</f>
        <v>2659.96</v>
      </c>
      <c r="H95" s="114"/>
      <c r="I95" s="114">
        <f>SUM(I93:I94)</f>
        <v>1329.98</v>
      </c>
      <c r="J95" s="114"/>
      <c r="K95" s="114">
        <f>SUM(K93:K94)</f>
        <v>3989.94</v>
      </c>
      <c r="L95" s="115"/>
      <c r="M95" s="126">
        <f>ROUND(SUM(M92:M94),5)</f>
        <v>2000</v>
      </c>
      <c r="O95" s="116">
        <f>SUM(O93:O94)</f>
        <v>1989.94</v>
      </c>
      <c r="P95" s="117"/>
      <c r="Q95" s="116">
        <f>SUM(Q93:Q94)</f>
        <v>3989.94</v>
      </c>
    </row>
    <row r="96" spans="1:17" x14ac:dyDescent="0.45">
      <c r="A96" s="113"/>
      <c r="B96" s="113"/>
      <c r="C96" s="113"/>
      <c r="D96" s="113"/>
      <c r="E96" s="113" t="s">
        <v>38</v>
      </c>
      <c r="F96" s="113"/>
      <c r="G96" s="114"/>
      <c r="H96" s="114"/>
      <c r="I96" s="114"/>
      <c r="J96" s="114"/>
      <c r="K96" s="114"/>
      <c r="L96" s="115"/>
      <c r="M96" s="126"/>
      <c r="O96" s="117"/>
      <c r="P96" s="117"/>
      <c r="Q96" s="117"/>
    </row>
    <row r="97" spans="1:17" x14ac:dyDescent="0.45">
      <c r="A97" s="113"/>
      <c r="B97" s="113"/>
      <c r="C97" s="113"/>
      <c r="D97" s="113"/>
      <c r="E97" s="113"/>
      <c r="F97" s="113" t="s">
        <v>231</v>
      </c>
      <c r="G97" s="114">
        <v>12962.56</v>
      </c>
      <c r="H97" s="114"/>
      <c r="I97" s="114">
        <f t="shared" ref="I97:I103" si="11">G97/8*4</f>
        <v>6481.28</v>
      </c>
      <c r="J97" s="114"/>
      <c r="K97" s="114">
        <f t="shared" ref="K97:K103" si="12">G97+I97</f>
        <v>19443.84</v>
      </c>
      <c r="L97" s="115"/>
      <c r="M97" s="126">
        <v>19500</v>
      </c>
      <c r="O97" s="116">
        <f t="shared" ref="O97:O103" si="13">K97-M97</f>
        <v>-56.159999999999854</v>
      </c>
      <c r="P97" s="117"/>
      <c r="Q97" s="116">
        <f t="shared" ref="Q97:Q103" si="14">M97+O97</f>
        <v>19443.84</v>
      </c>
    </row>
    <row r="98" spans="1:17" x14ac:dyDescent="0.45">
      <c r="A98" s="113"/>
      <c r="B98" s="113"/>
      <c r="C98" s="113"/>
      <c r="D98" s="113"/>
      <c r="E98" s="113"/>
      <c r="F98" s="113" t="s">
        <v>232</v>
      </c>
      <c r="G98" s="114">
        <v>495.59</v>
      </c>
      <c r="H98" s="114"/>
      <c r="I98" s="114">
        <f t="shared" si="11"/>
        <v>247.79499999999999</v>
      </c>
      <c r="J98" s="114"/>
      <c r="K98" s="114">
        <f t="shared" si="12"/>
        <v>743.38499999999999</v>
      </c>
      <c r="L98" s="115"/>
      <c r="M98" s="126"/>
      <c r="O98" s="116">
        <f t="shared" si="13"/>
        <v>743.38499999999999</v>
      </c>
      <c r="P98" s="117"/>
      <c r="Q98" s="116">
        <f t="shared" si="14"/>
        <v>743.38499999999999</v>
      </c>
    </row>
    <row r="99" spans="1:17" x14ac:dyDescent="0.45">
      <c r="A99" s="113"/>
      <c r="B99" s="113"/>
      <c r="C99" s="113"/>
      <c r="D99" s="113"/>
      <c r="E99" s="113"/>
      <c r="F99" s="113" t="s">
        <v>233</v>
      </c>
      <c r="G99" s="114">
        <v>2523.0300000000002</v>
      </c>
      <c r="H99" s="114"/>
      <c r="I99" s="114">
        <f t="shared" si="11"/>
        <v>1261.5150000000001</v>
      </c>
      <c r="J99" s="114"/>
      <c r="K99" s="114">
        <f t="shared" si="12"/>
        <v>3784.5450000000001</v>
      </c>
      <c r="L99" s="115"/>
      <c r="M99" s="126">
        <v>3600</v>
      </c>
      <c r="O99" s="116">
        <f t="shared" si="13"/>
        <v>184.54500000000007</v>
      </c>
      <c r="P99" s="117"/>
      <c r="Q99" s="116">
        <f t="shared" si="14"/>
        <v>3784.5450000000001</v>
      </c>
    </row>
    <row r="100" spans="1:17" x14ac:dyDescent="0.45">
      <c r="A100" s="113"/>
      <c r="B100" s="113"/>
      <c r="C100" s="113"/>
      <c r="D100" s="113"/>
      <c r="E100" s="113"/>
      <c r="F100" s="113" t="s">
        <v>234</v>
      </c>
      <c r="G100" s="114">
        <v>3116.13</v>
      </c>
      <c r="H100" s="114"/>
      <c r="I100" s="114">
        <f t="shared" si="11"/>
        <v>1558.0650000000001</v>
      </c>
      <c r="J100" s="114"/>
      <c r="K100" s="114">
        <f t="shared" si="12"/>
        <v>4674.1949999999997</v>
      </c>
      <c r="L100" s="115"/>
      <c r="M100" s="126">
        <v>3114</v>
      </c>
      <c r="O100" s="116">
        <f t="shared" si="13"/>
        <v>1560.1949999999997</v>
      </c>
      <c r="P100" s="117"/>
      <c r="Q100" s="116">
        <f t="shared" si="14"/>
        <v>4674.1949999999997</v>
      </c>
    </row>
    <row r="101" spans="1:17" x14ac:dyDescent="0.45">
      <c r="A101" s="113"/>
      <c r="B101" s="113"/>
      <c r="C101" s="113"/>
      <c r="D101" s="113"/>
      <c r="E101" s="113"/>
      <c r="F101" s="113" t="s">
        <v>235</v>
      </c>
      <c r="G101" s="114"/>
      <c r="H101" s="114"/>
      <c r="I101" s="114">
        <f t="shared" si="11"/>
        <v>0</v>
      </c>
      <c r="J101" s="114"/>
      <c r="K101" s="114">
        <f t="shared" si="12"/>
        <v>0</v>
      </c>
      <c r="L101" s="115"/>
      <c r="M101" s="126"/>
      <c r="O101" s="116">
        <f t="shared" si="13"/>
        <v>0</v>
      </c>
      <c r="P101" s="117"/>
      <c r="Q101" s="116">
        <f t="shared" si="14"/>
        <v>0</v>
      </c>
    </row>
    <row r="102" spans="1:17" x14ac:dyDescent="0.45">
      <c r="A102" s="113"/>
      <c r="B102" s="113"/>
      <c r="C102" s="113"/>
      <c r="D102" s="113"/>
      <c r="E102" s="113"/>
      <c r="F102" s="113" t="s">
        <v>236</v>
      </c>
      <c r="G102" s="114">
        <v>23141.69</v>
      </c>
      <c r="H102" s="114"/>
      <c r="I102" s="114">
        <f t="shared" si="11"/>
        <v>11570.844999999999</v>
      </c>
      <c r="J102" s="114"/>
      <c r="K102" s="114">
        <f t="shared" si="12"/>
        <v>34712.534999999996</v>
      </c>
      <c r="L102" s="115"/>
      <c r="M102" s="126">
        <v>36000</v>
      </c>
      <c r="O102" s="116">
        <f t="shared" si="13"/>
        <v>-1287.4650000000038</v>
      </c>
      <c r="P102" s="117"/>
      <c r="Q102" s="116">
        <f t="shared" si="14"/>
        <v>34712.534999999996</v>
      </c>
    </row>
    <row r="103" spans="1:17" ht="14.65" thickBot="1" x14ac:dyDescent="0.5">
      <c r="A103" s="113"/>
      <c r="B103" s="113"/>
      <c r="C103" s="113"/>
      <c r="D103" s="113"/>
      <c r="E103" s="113"/>
      <c r="F103" s="113" t="s">
        <v>237</v>
      </c>
      <c r="G103" s="118">
        <v>5661.03</v>
      </c>
      <c r="H103" s="114"/>
      <c r="I103" s="118">
        <f t="shared" si="11"/>
        <v>2830.5149999999999</v>
      </c>
      <c r="J103" s="114"/>
      <c r="K103" s="118">
        <f t="shared" si="12"/>
        <v>8491.5450000000001</v>
      </c>
      <c r="L103" s="115"/>
      <c r="M103" s="127">
        <v>7648</v>
      </c>
      <c r="O103" s="119">
        <f t="shared" si="13"/>
        <v>843.54500000000007</v>
      </c>
      <c r="P103" s="117"/>
      <c r="Q103" s="119">
        <f t="shared" si="14"/>
        <v>8491.5450000000001</v>
      </c>
    </row>
    <row r="104" spans="1:17" x14ac:dyDescent="0.45">
      <c r="A104" s="113"/>
      <c r="B104" s="113"/>
      <c r="C104" s="113"/>
      <c r="D104" s="113"/>
      <c r="E104" s="113" t="s">
        <v>238</v>
      </c>
      <c r="F104" s="113"/>
      <c r="G104" s="114">
        <f>ROUND(SUM(G96:G103),5)</f>
        <v>47900.03</v>
      </c>
      <c r="H104" s="114"/>
      <c r="I104" s="114">
        <f>SUM(I97:I103)</f>
        <v>23950.014999999999</v>
      </c>
      <c r="J104" s="114"/>
      <c r="K104" s="114">
        <f>SUM(K97:K103)</f>
        <v>71850.044999999998</v>
      </c>
      <c r="L104" s="115"/>
      <c r="M104" s="126">
        <f>ROUND(SUM(M96:M103),5)</f>
        <v>69862</v>
      </c>
      <c r="O104" s="116">
        <f>SUM(O97:O103)</f>
        <v>1988.0449999999964</v>
      </c>
      <c r="P104" s="117"/>
      <c r="Q104" s="116">
        <f>SUM(Q97:Q103)</f>
        <v>71850.044999999998</v>
      </c>
    </row>
    <row r="105" spans="1:17" x14ac:dyDescent="0.45">
      <c r="A105" s="113"/>
      <c r="B105" s="113"/>
      <c r="C105" s="113"/>
      <c r="D105" s="113"/>
      <c r="E105" s="113" t="s">
        <v>42</v>
      </c>
      <c r="F105" s="113"/>
      <c r="G105" s="114"/>
      <c r="H105" s="114"/>
      <c r="I105" s="114"/>
      <c r="J105" s="114"/>
      <c r="K105" s="114"/>
      <c r="L105" s="115"/>
      <c r="M105" s="126"/>
      <c r="O105" s="117"/>
      <c r="P105" s="117"/>
      <c r="Q105" s="117"/>
    </row>
    <row r="106" spans="1:17" x14ac:dyDescent="0.45">
      <c r="A106" s="113"/>
      <c r="B106" s="113"/>
      <c r="C106" s="113"/>
      <c r="D106" s="113"/>
      <c r="E106" s="113"/>
      <c r="F106" s="113" t="s">
        <v>239</v>
      </c>
      <c r="G106" s="114">
        <v>14770.05</v>
      </c>
      <c r="H106" s="114"/>
      <c r="I106" s="114">
        <f t="shared" ref="I106:I114" si="15">G106/8*4</f>
        <v>7385.0249999999996</v>
      </c>
      <c r="J106" s="114"/>
      <c r="K106" s="114">
        <f t="shared" ref="K106:K114" si="16">G106+I106</f>
        <v>22155.074999999997</v>
      </c>
      <c r="L106" s="115"/>
      <c r="M106" s="126">
        <v>23164</v>
      </c>
      <c r="O106" s="116">
        <f t="shared" ref="O106:O114" si="17">K106-M106</f>
        <v>-1008.9250000000029</v>
      </c>
      <c r="P106" s="117"/>
      <c r="Q106" s="116">
        <f>'Payroll FY2024'!H32</f>
        <v>33500</v>
      </c>
    </row>
    <row r="107" spans="1:17" x14ac:dyDescent="0.45">
      <c r="A107" s="113"/>
      <c r="B107" s="113"/>
      <c r="C107" s="113"/>
      <c r="D107" s="113"/>
      <c r="E107" s="113"/>
      <c r="F107" s="113" t="s">
        <v>240</v>
      </c>
      <c r="G107" s="114"/>
      <c r="H107" s="114"/>
      <c r="I107" s="114">
        <f t="shared" si="15"/>
        <v>0</v>
      </c>
      <c r="J107" s="114"/>
      <c r="K107" s="114">
        <f t="shared" si="16"/>
        <v>0</v>
      </c>
      <c r="L107" s="115"/>
      <c r="M107" s="126"/>
      <c r="O107" s="116">
        <f t="shared" si="17"/>
        <v>0</v>
      </c>
      <c r="P107" s="117"/>
      <c r="Q107" s="116">
        <f t="shared" ref="Q107:Q114" si="18">M107+O107</f>
        <v>0</v>
      </c>
    </row>
    <row r="108" spans="1:17" x14ac:dyDescent="0.45">
      <c r="A108" s="113"/>
      <c r="B108" s="113"/>
      <c r="C108" s="113"/>
      <c r="D108" s="113"/>
      <c r="E108" s="113"/>
      <c r="F108" s="113" t="s">
        <v>241</v>
      </c>
      <c r="G108" s="114">
        <v>1129.74</v>
      </c>
      <c r="H108" s="114"/>
      <c r="I108" s="114">
        <f t="shared" si="15"/>
        <v>564.87</v>
      </c>
      <c r="J108" s="114"/>
      <c r="K108" s="114">
        <f t="shared" si="16"/>
        <v>1694.6100000000001</v>
      </c>
      <c r="L108" s="115"/>
      <c r="M108" s="126">
        <v>3516</v>
      </c>
      <c r="O108" s="116">
        <f t="shared" si="17"/>
        <v>-1821.3899999999999</v>
      </c>
      <c r="P108" s="117"/>
      <c r="Q108" s="116">
        <f>0.0765*Q106</f>
        <v>2562.75</v>
      </c>
    </row>
    <row r="109" spans="1:17" x14ac:dyDescent="0.45">
      <c r="A109" s="113"/>
      <c r="B109" s="113"/>
      <c r="C109" s="113"/>
      <c r="D109" s="113"/>
      <c r="E109" s="113"/>
      <c r="F109" s="113" t="s">
        <v>242</v>
      </c>
      <c r="G109" s="114"/>
      <c r="H109" s="114"/>
      <c r="I109" s="114">
        <f t="shared" si="15"/>
        <v>0</v>
      </c>
      <c r="J109" s="114"/>
      <c r="K109" s="114">
        <f t="shared" si="16"/>
        <v>0</v>
      </c>
      <c r="L109" s="115"/>
      <c r="M109" s="126">
        <v>552</v>
      </c>
      <c r="O109" s="116">
        <f t="shared" si="17"/>
        <v>-552</v>
      </c>
      <c r="P109" s="117"/>
      <c r="Q109" s="116">
        <f>0.012*Q106</f>
        <v>402</v>
      </c>
    </row>
    <row r="110" spans="1:17" x14ac:dyDescent="0.45">
      <c r="A110" s="113"/>
      <c r="B110" s="113"/>
      <c r="C110" s="113"/>
      <c r="D110" s="113"/>
      <c r="E110" s="113"/>
      <c r="F110" s="113" t="s">
        <v>243</v>
      </c>
      <c r="G110" s="114">
        <v>15241.57</v>
      </c>
      <c r="H110" s="114"/>
      <c r="I110" s="114">
        <f t="shared" si="15"/>
        <v>7620.7849999999999</v>
      </c>
      <c r="J110" s="114"/>
      <c r="K110" s="114">
        <f t="shared" si="16"/>
        <v>22862.355</v>
      </c>
      <c r="L110" s="115"/>
      <c r="M110" s="126">
        <v>22800</v>
      </c>
      <c r="O110" s="116">
        <f t="shared" si="17"/>
        <v>62.354999999999563</v>
      </c>
      <c r="P110" s="117"/>
      <c r="Q110" s="116">
        <f t="shared" si="18"/>
        <v>22862.355</v>
      </c>
    </row>
    <row r="111" spans="1:17" x14ac:dyDescent="0.45">
      <c r="A111" s="113"/>
      <c r="B111" s="113"/>
      <c r="C111" s="113"/>
      <c r="D111" s="113"/>
      <c r="E111" s="113"/>
      <c r="F111" s="113" t="s">
        <v>244</v>
      </c>
      <c r="G111" s="114">
        <v>11229.7</v>
      </c>
      <c r="H111" s="114"/>
      <c r="I111" s="114">
        <f t="shared" si="15"/>
        <v>5614.85</v>
      </c>
      <c r="J111" s="114"/>
      <c r="K111" s="114">
        <f t="shared" si="16"/>
        <v>16844.550000000003</v>
      </c>
      <c r="L111" s="115"/>
      <c r="M111" s="126">
        <v>10000</v>
      </c>
      <c r="O111" s="116">
        <f t="shared" si="17"/>
        <v>6844.5500000000029</v>
      </c>
      <c r="P111" s="117"/>
      <c r="Q111" s="116">
        <f t="shared" si="18"/>
        <v>16844.550000000003</v>
      </c>
    </row>
    <row r="112" spans="1:17" x14ac:dyDescent="0.45">
      <c r="A112" s="113"/>
      <c r="B112" s="113"/>
      <c r="C112" s="113"/>
      <c r="D112" s="113"/>
      <c r="E112" s="113"/>
      <c r="F112" s="113" t="s">
        <v>245</v>
      </c>
      <c r="G112" s="114">
        <v>1388.97</v>
      </c>
      <c r="H112" s="114"/>
      <c r="I112" s="114">
        <f t="shared" si="15"/>
        <v>694.48500000000001</v>
      </c>
      <c r="J112" s="114"/>
      <c r="K112" s="114">
        <f t="shared" si="16"/>
        <v>2083.4549999999999</v>
      </c>
      <c r="L112" s="115"/>
      <c r="M112" s="126">
        <v>2600</v>
      </c>
      <c r="O112" s="116">
        <f t="shared" si="17"/>
        <v>-516.54500000000007</v>
      </c>
      <c r="P112" s="117"/>
      <c r="Q112" s="116">
        <f t="shared" si="18"/>
        <v>2083.4549999999999</v>
      </c>
    </row>
    <row r="113" spans="1:17" x14ac:dyDescent="0.45">
      <c r="A113" s="113"/>
      <c r="B113" s="113"/>
      <c r="C113" s="113"/>
      <c r="D113" s="113"/>
      <c r="E113" s="113"/>
      <c r="F113" s="113" t="s">
        <v>246</v>
      </c>
      <c r="G113" s="114"/>
      <c r="H113" s="114"/>
      <c r="I113" s="114">
        <f t="shared" si="15"/>
        <v>0</v>
      </c>
      <c r="J113" s="114"/>
      <c r="K113" s="114">
        <f t="shared" si="16"/>
        <v>0</v>
      </c>
      <c r="L113" s="115"/>
      <c r="M113" s="126">
        <v>881</v>
      </c>
      <c r="O113" s="116">
        <f t="shared" si="17"/>
        <v>-881</v>
      </c>
      <c r="P113" s="117"/>
      <c r="Q113" s="116">
        <f t="shared" si="18"/>
        <v>0</v>
      </c>
    </row>
    <row r="114" spans="1:17" ht="14.65" thickBot="1" x14ac:dyDescent="0.5">
      <c r="A114" s="113"/>
      <c r="B114" s="113"/>
      <c r="C114" s="113"/>
      <c r="D114" s="113"/>
      <c r="E114" s="113"/>
      <c r="F114" s="113" t="s">
        <v>247</v>
      </c>
      <c r="G114" s="118">
        <v>5535</v>
      </c>
      <c r="H114" s="114"/>
      <c r="I114" s="118">
        <f t="shared" si="15"/>
        <v>2767.5</v>
      </c>
      <c r="J114" s="114"/>
      <c r="K114" s="118">
        <f t="shared" si="16"/>
        <v>8302.5</v>
      </c>
      <c r="L114" s="115"/>
      <c r="M114" s="127">
        <v>5500</v>
      </c>
      <c r="O114" s="119">
        <f t="shared" si="17"/>
        <v>2802.5</v>
      </c>
      <c r="P114" s="117"/>
      <c r="Q114" s="119">
        <f t="shared" si="18"/>
        <v>8302.5</v>
      </c>
    </row>
    <row r="115" spans="1:17" x14ac:dyDescent="0.45">
      <c r="A115" s="113"/>
      <c r="B115" s="113"/>
      <c r="C115" s="113"/>
      <c r="D115" s="113"/>
      <c r="E115" s="113" t="s">
        <v>248</v>
      </c>
      <c r="F115" s="113"/>
      <c r="G115" s="114">
        <f>ROUND(SUM(G105:G114),5)</f>
        <v>49295.03</v>
      </c>
      <c r="H115" s="114"/>
      <c r="I115" s="114">
        <f>SUM(I106:I114)</f>
        <v>24647.514999999999</v>
      </c>
      <c r="J115" s="114"/>
      <c r="K115" s="114">
        <f>SUM(K106:K114)</f>
        <v>73942.544999999998</v>
      </c>
      <c r="L115" s="115"/>
      <c r="M115" s="126">
        <f>ROUND(SUM(M105:M114),5)</f>
        <v>69013</v>
      </c>
      <c r="O115" s="116">
        <f>SUM(O106:O114)</f>
        <v>4929.5450000000001</v>
      </c>
      <c r="P115" s="117"/>
      <c r="Q115" s="116">
        <f>SUM(Q106:Q114)</f>
        <v>86557.61</v>
      </c>
    </row>
    <row r="116" spans="1:17" x14ac:dyDescent="0.45">
      <c r="A116" s="113"/>
      <c r="B116" s="113"/>
      <c r="C116" s="113"/>
      <c r="D116" s="113"/>
      <c r="E116" s="113" t="s">
        <v>76</v>
      </c>
      <c r="F116" s="113"/>
      <c r="G116" s="114"/>
      <c r="H116" s="114"/>
      <c r="I116" s="114"/>
      <c r="J116" s="114"/>
      <c r="K116" s="114"/>
      <c r="L116" s="115"/>
      <c r="M116" s="126"/>
      <c r="O116" s="117"/>
      <c r="P116" s="117"/>
      <c r="Q116" s="117"/>
    </row>
    <row r="117" spans="1:17" ht="14.65" thickBot="1" x14ac:dyDescent="0.5">
      <c r="A117" s="113"/>
      <c r="B117" s="113"/>
      <c r="C117" s="113"/>
      <c r="D117" s="113"/>
      <c r="E117" s="113"/>
      <c r="F117" s="113" t="s">
        <v>249</v>
      </c>
      <c r="G117" s="114"/>
      <c r="H117" s="114"/>
      <c r="I117" s="118">
        <f>G117/8*4</f>
        <v>0</v>
      </c>
      <c r="J117" s="114"/>
      <c r="K117" s="118">
        <f>G117+I117</f>
        <v>0</v>
      </c>
      <c r="L117" s="115"/>
      <c r="M117" s="126">
        <v>1500</v>
      </c>
      <c r="O117" s="119">
        <f>K117-M117</f>
        <v>-1500</v>
      </c>
      <c r="P117" s="117"/>
      <c r="Q117" s="119">
        <f>M117+O117</f>
        <v>0</v>
      </c>
    </row>
    <row r="118" spans="1:17" ht="14.65" thickBot="1" x14ac:dyDescent="0.5">
      <c r="A118" s="113"/>
      <c r="B118" s="113"/>
      <c r="C118" s="113"/>
      <c r="D118" s="113"/>
      <c r="E118" s="113" t="s">
        <v>250</v>
      </c>
      <c r="F118" s="113"/>
      <c r="G118" s="120"/>
      <c r="H118" s="114"/>
      <c r="I118" s="121"/>
      <c r="J118" s="114"/>
      <c r="K118" s="121"/>
      <c r="L118" s="115"/>
      <c r="M118" s="128">
        <f>ROUND(SUM(M116:M117),5)</f>
        <v>1500</v>
      </c>
      <c r="O118" s="120">
        <f>ROUND(SUM(O116:O117),5)</f>
        <v>-1500</v>
      </c>
      <c r="P118" s="117"/>
      <c r="Q118" s="120">
        <f>ROUND(SUM(Q116:Q117),5)</f>
        <v>0</v>
      </c>
    </row>
    <row r="119" spans="1:17" ht="14.65" thickBot="1" x14ac:dyDescent="0.5">
      <c r="A119" s="113"/>
      <c r="B119" s="113"/>
      <c r="C119" s="113"/>
      <c r="D119" s="113" t="s">
        <v>251</v>
      </c>
      <c r="E119" s="113"/>
      <c r="F119" s="113"/>
      <c r="G119" s="121">
        <f>ROUND(G27+G48+G51+G55+G58+G77+G84+G91+G95+G104+G115+G118,5)</f>
        <v>764385.16</v>
      </c>
      <c r="H119" s="114"/>
      <c r="I119" s="121">
        <f>ROUND(I27+I48+I51+I55+I58+I77+I84+I91+I95+I104+I115+I118,5)</f>
        <v>377725.03</v>
      </c>
      <c r="J119" s="114"/>
      <c r="K119" s="121">
        <f>ROUND(K27+K48+K51+K55+K58+K77+K84+K91+K95+K104+K115+K118,5)</f>
        <v>1142110.19</v>
      </c>
      <c r="L119" s="115"/>
      <c r="M119" s="129">
        <f>ROUND(M27+M48+M51+M55+M58+M77+M84+M91+M95+M104+M115+M118,5)</f>
        <v>1132079</v>
      </c>
      <c r="O119" s="121">
        <f>ROUND(O27+O48+O51+O55+O58+O77+O84+O91+O95+O104+O115+O118,5)</f>
        <v>10031.19</v>
      </c>
      <c r="P119" s="117"/>
      <c r="Q119" s="121">
        <f>ROUND(Q27+Q48+Q51+Q55+Q58+Q77+Q84+Q91+Q95+Q104+Q115+Q118,5)</f>
        <v>1230912.8149999999</v>
      </c>
    </row>
    <row r="120" spans="1:17" x14ac:dyDescent="0.45">
      <c r="A120" s="113"/>
      <c r="B120" s="113" t="s">
        <v>252</v>
      </c>
      <c r="C120" s="113"/>
      <c r="D120" s="113"/>
      <c r="E120" s="113"/>
      <c r="F120" s="113"/>
      <c r="G120" s="114">
        <f>ROUND(G2+G26-G119,5)</f>
        <v>-199778.41</v>
      </c>
      <c r="H120" s="114"/>
      <c r="I120" s="114">
        <f>ROUND(I2+I26-I119,5)</f>
        <v>-280815.03999999998</v>
      </c>
      <c r="J120" s="114"/>
      <c r="K120" s="114">
        <f>ROUND(K2+K26-K119,5)</f>
        <v>-240029.11</v>
      </c>
      <c r="L120" s="115"/>
      <c r="M120" s="126">
        <f>ROUND(M2+M26-M119,5)</f>
        <v>-200454</v>
      </c>
      <c r="O120" s="114">
        <f>ROUND(O2+O26-O119,5)</f>
        <v>-39575.11</v>
      </c>
      <c r="P120" s="117"/>
      <c r="Q120" s="114">
        <f>ROUND(Q2+Q26-Q119,5)</f>
        <v>-328831.73499999999</v>
      </c>
    </row>
    <row r="121" spans="1:17" x14ac:dyDescent="0.45">
      <c r="A121" s="113"/>
      <c r="B121" s="113" t="s">
        <v>253</v>
      </c>
      <c r="C121" s="113"/>
      <c r="D121" s="113"/>
      <c r="E121" s="113"/>
      <c r="F121" s="113"/>
      <c r="G121" s="114"/>
      <c r="H121" s="114"/>
      <c r="I121" s="114"/>
      <c r="J121" s="114"/>
      <c r="K121" s="114"/>
      <c r="L121" s="115"/>
      <c r="M121" s="126"/>
      <c r="O121" s="117"/>
      <c r="P121" s="117"/>
      <c r="Q121" s="117"/>
    </row>
    <row r="122" spans="1:17" x14ac:dyDescent="0.45">
      <c r="A122" s="113"/>
      <c r="B122" s="113"/>
      <c r="C122" s="113" t="s">
        <v>254</v>
      </c>
      <c r="D122" s="113"/>
      <c r="E122" s="113"/>
      <c r="F122" s="113"/>
      <c r="G122" s="114"/>
      <c r="H122" s="114"/>
      <c r="I122" s="114"/>
      <c r="J122" s="114"/>
      <c r="K122" s="114"/>
      <c r="L122" s="115"/>
      <c r="M122" s="126"/>
      <c r="O122" s="117"/>
      <c r="P122" s="117"/>
      <c r="Q122" s="117"/>
    </row>
    <row r="123" spans="1:17" x14ac:dyDescent="0.45">
      <c r="A123" s="113"/>
      <c r="B123" s="113"/>
      <c r="C123" s="113"/>
      <c r="D123" s="113" t="s">
        <v>255</v>
      </c>
      <c r="E123" s="113"/>
      <c r="F123" s="113"/>
      <c r="G123" s="114">
        <v>35007</v>
      </c>
      <c r="H123" s="114"/>
      <c r="I123" s="114">
        <v>13154</v>
      </c>
      <c r="J123" s="114"/>
      <c r="K123" s="114">
        <f>G123+I123</f>
        <v>48161</v>
      </c>
      <c r="L123" s="115"/>
      <c r="M123" s="126">
        <v>52100</v>
      </c>
      <c r="O123" s="116">
        <f>K123-M123</f>
        <v>-3939</v>
      </c>
      <c r="P123" s="117"/>
      <c r="Q123" s="116">
        <f>M123+O123</f>
        <v>48161</v>
      </c>
    </row>
    <row r="124" spans="1:17" ht="14.65" thickBot="1" x14ac:dyDescent="0.5">
      <c r="A124" s="113"/>
      <c r="B124" s="113"/>
      <c r="C124" s="113"/>
      <c r="D124" s="113" t="s">
        <v>256</v>
      </c>
      <c r="E124" s="113"/>
      <c r="F124" s="113"/>
      <c r="G124" s="114"/>
      <c r="H124" s="114"/>
      <c r="I124" s="118"/>
      <c r="J124" s="114"/>
      <c r="K124" s="118"/>
      <c r="L124" s="115"/>
      <c r="M124" s="126"/>
      <c r="O124" s="117"/>
      <c r="P124" s="117"/>
      <c r="Q124" s="117"/>
    </row>
    <row r="125" spans="1:17" ht="14.65" thickBot="1" x14ac:dyDescent="0.5">
      <c r="A125" s="113"/>
      <c r="B125" s="113"/>
      <c r="C125" s="113" t="s">
        <v>257</v>
      </c>
      <c r="D125" s="113"/>
      <c r="E125" s="113"/>
      <c r="F125" s="113"/>
      <c r="G125" s="120">
        <f>ROUND(SUM(G122:G124),5)</f>
        <v>35007</v>
      </c>
      <c r="H125" s="114"/>
      <c r="I125" s="121">
        <f>SUM(I123:I124)</f>
        <v>13154</v>
      </c>
      <c r="J125" s="114"/>
      <c r="K125" s="121">
        <f>SUM(K123:K124)</f>
        <v>48161</v>
      </c>
      <c r="L125" s="115"/>
      <c r="M125" s="128">
        <f>ROUND(SUM(M122:M124),5)</f>
        <v>52100</v>
      </c>
      <c r="O125" s="120">
        <f>ROUND(SUM(O122:O124),5)</f>
        <v>-3939</v>
      </c>
      <c r="P125" s="117"/>
      <c r="Q125" s="120">
        <f>ROUND(SUM(Q122:Q124),5)</f>
        <v>48161</v>
      </c>
    </row>
    <row r="126" spans="1:17" ht="14.65" thickBot="1" x14ac:dyDescent="0.5">
      <c r="A126" s="113"/>
      <c r="B126" s="113" t="s">
        <v>258</v>
      </c>
      <c r="C126" s="113"/>
      <c r="D126" s="113"/>
      <c r="E126" s="113"/>
      <c r="F126" s="113"/>
      <c r="G126" s="120">
        <f>ROUND(G121+G125,5)</f>
        <v>35007</v>
      </c>
      <c r="H126" s="114"/>
      <c r="I126" s="120">
        <f>ROUND(I121+I125,5)</f>
        <v>13154</v>
      </c>
      <c r="J126" s="114"/>
      <c r="K126" s="120">
        <f>ROUND(K121+K125,5)</f>
        <v>48161</v>
      </c>
      <c r="L126" s="115"/>
      <c r="M126" s="128">
        <f>ROUND(M121+M125,5)</f>
        <v>52100</v>
      </c>
      <c r="O126" s="120">
        <f>ROUND(O121+O125,5)</f>
        <v>-3939</v>
      </c>
      <c r="P126" s="117"/>
      <c r="Q126" s="120">
        <f>ROUND(Q121+Q125,5)</f>
        <v>48161</v>
      </c>
    </row>
    <row r="127" spans="1:17" s="124" customFormat="1" ht="10.5" thickBot="1" x14ac:dyDescent="0.35">
      <c r="A127" s="113" t="s">
        <v>259</v>
      </c>
      <c r="B127" s="113"/>
      <c r="C127" s="113"/>
      <c r="D127" s="113"/>
      <c r="E127" s="113"/>
      <c r="F127" s="113"/>
      <c r="G127" s="122">
        <f>ROUND(G120+G126,5)</f>
        <v>-164771.41</v>
      </c>
      <c r="H127" s="123"/>
      <c r="I127" s="122">
        <f>ROUND(I120+I126,5)</f>
        <v>-267661.03999999998</v>
      </c>
      <c r="J127" s="123"/>
      <c r="K127" s="122">
        <f>ROUND(K120+K126,5)</f>
        <v>-191868.11</v>
      </c>
      <c r="L127" s="113"/>
      <c r="M127" s="130">
        <f>ROUND(M120+M126,5)</f>
        <v>-148354</v>
      </c>
      <c r="O127" s="122">
        <f>ROUND(O120+O126,5)</f>
        <v>-43514.11</v>
      </c>
      <c r="Q127" s="122">
        <f>ROUND(Q120+Q126,5)</f>
        <v>-280670.73499999999</v>
      </c>
    </row>
    <row r="128" spans="1:17" ht="14.65" thickTop="1" x14ac:dyDescent="0.45"/>
  </sheetData>
  <pageMargins left="0.7" right="0.7" top="0.75" bottom="0.75" header="0.1" footer="0.3"/>
  <pageSetup orientation="portrait" r:id="rId1"/>
  <headerFooter>
    <oddHeader>&amp;L&amp;"Arial,Bold"&amp;8 7:54 AM
&amp;"Arial,Bold"&amp;8 03/28/22
&amp;"Arial,Bold"&amp;8 Accrual Basis&amp;C&amp;"Arial,Bold"&amp;12 Central Florida Leadership Academy
&amp;"Arial,Bold"&amp;14 Profit &amp;&amp; Loss Budget Performance
&amp;"Arial,Bold"&amp;10 February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4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57150</xdr:colOff>
                <xdr:row>0</xdr:row>
                <xdr:rowOff>228600</xdr:rowOff>
              </to>
            </anchor>
          </controlPr>
        </control>
      </mc:Choice>
      <mc:Fallback>
        <control shapeId="10241" r:id="rId4" name="FILTER"/>
      </mc:Fallback>
    </mc:AlternateContent>
    <mc:AlternateContent xmlns:mc="http://schemas.openxmlformats.org/markup-compatibility/2006">
      <mc:Choice Requires="x14">
        <control shapeId="1024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57150</xdr:colOff>
                <xdr:row>0</xdr:row>
                <xdr:rowOff>228600</xdr:rowOff>
              </to>
            </anchor>
          </controlPr>
        </control>
      </mc:Choice>
      <mc:Fallback>
        <control shapeId="10242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4"/>
  <sheetViews>
    <sheetView tabSelected="1" zoomScale="179" zoomScaleNormal="150" workbookViewId="0">
      <pane xSplit="2" ySplit="7" topLeftCell="E8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defaultColWidth="9.1328125" defaultRowHeight="13.15" x14ac:dyDescent="0.4"/>
  <cols>
    <col min="1" max="1" width="5.73046875" style="17" customWidth="1"/>
    <col min="2" max="2" width="32.265625" style="17" customWidth="1"/>
    <col min="3" max="3" width="14.265625" style="32" hidden="1" customWidth="1"/>
    <col min="4" max="4" width="14.265625" style="33" hidden="1" customWidth="1"/>
    <col min="5" max="5" width="14.265625" style="32" customWidth="1"/>
    <col min="6" max="6" width="15.73046875" style="32" customWidth="1"/>
    <col min="7" max="7" width="4" style="17" customWidth="1"/>
    <col min="8" max="8" width="11" style="34" customWidth="1"/>
    <col min="9" max="16384" width="9.1328125" style="2"/>
  </cols>
  <sheetData>
    <row r="1" spans="1:8" x14ac:dyDescent="0.4">
      <c r="A1" s="67" t="s">
        <v>0</v>
      </c>
      <c r="B1" s="67"/>
      <c r="C1" s="64"/>
      <c r="E1" s="64">
        <v>103</v>
      </c>
      <c r="F1" s="69" t="s">
        <v>91</v>
      </c>
      <c r="G1" s="3"/>
      <c r="H1" s="4"/>
    </row>
    <row r="2" spans="1:8" ht="15" customHeight="1" x14ac:dyDescent="0.4">
      <c r="A2" s="67" t="s">
        <v>97</v>
      </c>
      <c r="B2" s="67"/>
      <c r="C2" s="55"/>
      <c r="E2" s="55">
        <v>8846</v>
      </c>
      <c r="F2" s="70" t="s">
        <v>2</v>
      </c>
      <c r="G2" s="3"/>
      <c r="H2" s="4"/>
    </row>
    <row r="3" spans="1:8" x14ac:dyDescent="0.4">
      <c r="A3" s="137" t="s">
        <v>285</v>
      </c>
      <c r="B3" s="137"/>
      <c r="C3" s="54"/>
      <c r="E3" s="54">
        <v>634</v>
      </c>
      <c r="F3" s="71" t="s">
        <v>92</v>
      </c>
      <c r="G3" s="3"/>
      <c r="H3" s="4"/>
    </row>
    <row r="4" spans="1:8" ht="15.75" customHeight="1" x14ac:dyDescent="0.4">
      <c r="C4" s="73"/>
      <c r="D4" s="48"/>
      <c r="E4" s="48"/>
      <c r="F4" s="48"/>
      <c r="G4" s="3"/>
      <c r="H4" s="4"/>
    </row>
    <row r="5" spans="1:8" ht="15" customHeight="1" x14ac:dyDescent="0.4">
      <c r="C5" s="74"/>
      <c r="D5" s="49"/>
      <c r="F5" s="47"/>
      <c r="G5" s="3"/>
      <c r="H5" s="4"/>
    </row>
    <row r="6" spans="1:8" x14ac:dyDescent="0.4">
      <c r="C6" s="75"/>
      <c r="D6" s="35" t="s">
        <v>100</v>
      </c>
      <c r="E6" s="47" t="s">
        <v>100</v>
      </c>
      <c r="F6" s="47"/>
      <c r="G6" s="3"/>
      <c r="H6" s="4"/>
    </row>
    <row r="7" spans="1:8" x14ac:dyDescent="0.4">
      <c r="C7" s="74" t="s">
        <v>132</v>
      </c>
      <c r="D7" s="35" t="s">
        <v>116</v>
      </c>
      <c r="E7" s="47" t="s">
        <v>286</v>
      </c>
      <c r="F7" s="47"/>
      <c r="G7" s="3"/>
      <c r="H7" s="4"/>
    </row>
    <row r="8" spans="1:8" x14ac:dyDescent="0.4">
      <c r="A8" s="33" t="s">
        <v>71</v>
      </c>
      <c r="B8" s="36"/>
      <c r="C8" s="46">
        <f ca="1">C8:D85</f>
        <v>0</v>
      </c>
      <c r="D8" s="34"/>
      <c r="E8" s="50"/>
      <c r="F8" s="50"/>
      <c r="G8" s="3"/>
      <c r="H8" s="4"/>
    </row>
    <row r="9" spans="1:8" ht="6.75" customHeight="1" x14ac:dyDescent="0.4">
      <c r="A9" s="33"/>
      <c r="B9" s="36"/>
      <c r="C9" s="46"/>
      <c r="D9" s="34"/>
      <c r="E9" s="50"/>
      <c r="F9" s="50"/>
      <c r="G9" s="3"/>
      <c r="H9" s="4"/>
    </row>
    <row r="10" spans="1:8" x14ac:dyDescent="0.4">
      <c r="B10" s="17" t="s">
        <v>2</v>
      </c>
      <c r="C10" s="34">
        <v>749849</v>
      </c>
      <c r="D10" s="34">
        <f>E10-C10</f>
        <v>161289</v>
      </c>
      <c r="E10" s="51">
        <f>E1*E2</f>
        <v>911138</v>
      </c>
      <c r="F10" s="51"/>
      <c r="G10" s="3"/>
      <c r="H10" s="4"/>
    </row>
    <row r="11" spans="1:8" x14ac:dyDescent="0.4">
      <c r="B11" s="17" t="s">
        <v>79</v>
      </c>
      <c r="C11" s="34">
        <v>2400</v>
      </c>
      <c r="D11" s="34">
        <f t="shared" ref="D11:D20" si="0">E11-C11</f>
        <v>-2400</v>
      </c>
      <c r="E11" s="51"/>
      <c r="F11" s="51"/>
      <c r="G11" s="3"/>
      <c r="H11" s="4"/>
    </row>
    <row r="12" spans="1:8" x14ac:dyDescent="0.4">
      <c r="B12" s="17" t="s">
        <v>75</v>
      </c>
      <c r="C12" s="34">
        <v>52100</v>
      </c>
      <c r="D12" s="34">
        <f t="shared" si="0"/>
        <v>13202</v>
      </c>
      <c r="E12" s="51">
        <f>E1*E3</f>
        <v>65302</v>
      </c>
      <c r="F12" s="51"/>
      <c r="G12" s="3"/>
      <c r="H12" s="4"/>
    </row>
    <row r="13" spans="1:8" x14ac:dyDescent="0.4">
      <c r="B13" s="17" t="s">
        <v>54</v>
      </c>
      <c r="C13" s="34">
        <v>1500</v>
      </c>
      <c r="D13" s="34">
        <f t="shared" si="0"/>
        <v>-300</v>
      </c>
      <c r="E13" s="51">
        <v>1200</v>
      </c>
      <c r="F13" s="51"/>
      <c r="G13" s="3"/>
      <c r="H13" s="4"/>
    </row>
    <row r="14" spans="1:8" x14ac:dyDescent="0.4">
      <c r="B14" s="17" t="s">
        <v>114</v>
      </c>
      <c r="C14" s="34">
        <v>0</v>
      </c>
      <c r="D14" s="34"/>
      <c r="E14" s="51"/>
      <c r="F14" s="51"/>
      <c r="G14" s="3"/>
      <c r="H14" s="4"/>
    </row>
    <row r="15" spans="1:8" x14ac:dyDescent="0.4">
      <c r="B15" s="17" t="s">
        <v>120</v>
      </c>
      <c r="C15" s="34">
        <v>0</v>
      </c>
      <c r="D15" s="34"/>
      <c r="E15" s="51">
        <v>2400</v>
      </c>
      <c r="F15" s="51"/>
      <c r="G15" s="3"/>
      <c r="H15" s="4"/>
    </row>
    <row r="16" spans="1:8" x14ac:dyDescent="0.4">
      <c r="B16" s="17" t="s">
        <v>291</v>
      </c>
      <c r="C16" s="34">
        <v>130320</v>
      </c>
      <c r="D16" s="34"/>
      <c r="E16" s="51">
        <v>10441</v>
      </c>
      <c r="F16" s="51"/>
      <c r="G16" s="3"/>
      <c r="H16" s="4"/>
    </row>
    <row r="17" spans="1:8" x14ac:dyDescent="0.4">
      <c r="B17" s="17" t="s">
        <v>130</v>
      </c>
      <c r="C17" s="34">
        <v>0</v>
      </c>
      <c r="D17" s="34"/>
      <c r="E17" s="51" t="s">
        <v>43</v>
      </c>
      <c r="F17" s="51"/>
      <c r="G17" s="3"/>
      <c r="H17" s="4"/>
    </row>
    <row r="18" spans="1:8" x14ac:dyDescent="0.4">
      <c r="B18" s="17" t="s">
        <v>35</v>
      </c>
      <c r="C18" s="34">
        <v>2000</v>
      </c>
      <c r="D18" s="34">
        <f t="shared" si="0"/>
        <v>3000</v>
      </c>
      <c r="E18" s="51">
        <v>5000</v>
      </c>
      <c r="F18" s="51"/>
      <c r="G18" s="3"/>
      <c r="H18" s="4"/>
    </row>
    <row r="19" spans="1:8" x14ac:dyDescent="0.4">
      <c r="B19" s="17" t="s">
        <v>3</v>
      </c>
      <c r="C19" s="34">
        <v>10000</v>
      </c>
      <c r="D19" s="34"/>
      <c r="E19" s="51">
        <v>12000</v>
      </c>
      <c r="F19" s="51"/>
      <c r="G19" s="3"/>
      <c r="H19" s="4"/>
    </row>
    <row r="20" spans="1:8" x14ac:dyDescent="0.4">
      <c r="B20" s="17" t="s">
        <v>90</v>
      </c>
      <c r="C20" s="37">
        <v>6200</v>
      </c>
      <c r="D20" s="37">
        <f t="shared" si="0"/>
        <v>200</v>
      </c>
      <c r="E20" s="52">
        <v>6400</v>
      </c>
      <c r="F20" s="68"/>
      <c r="G20" s="3"/>
      <c r="H20" s="4"/>
    </row>
    <row r="21" spans="1:8" x14ac:dyDescent="0.4">
      <c r="C21" s="46">
        <v>0</v>
      </c>
      <c r="D21" s="46"/>
      <c r="E21" s="50"/>
      <c r="F21" s="68"/>
      <c r="G21" s="3"/>
      <c r="H21" s="4"/>
    </row>
    <row r="22" spans="1:8" x14ac:dyDescent="0.4">
      <c r="B22" s="17" t="s">
        <v>133</v>
      </c>
      <c r="C22" s="104"/>
      <c r="D22" s="46"/>
      <c r="E22" s="50">
        <v>100675</v>
      </c>
      <c r="F22" s="68"/>
      <c r="G22" s="3"/>
      <c r="H22" s="4"/>
    </row>
    <row r="23" spans="1:8" x14ac:dyDescent="0.4">
      <c r="B23" s="17" t="s">
        <v>4</v>
      </c>
      <c r="C23" s="84">
        <f>SUM(C10:C22)</f>
        <v>954369</v>
      </c>
      <c r="D23" s="84">
        <f>SUM(D10:D20)</f>
        <v>174991</v>
      </c>
      <c r="E23" s="85">
        <f>SUM(E10:E22)</f>
        <v>1114556</v>
      </c>
      <c r="F23" s="85"/>
      <c r="G23" s="3"/>
      <c r="H23" s="4"/>
    </row>
    <row r="24" spans="1:8" x14ac:dyDescent="0.4">
      <c r="C24" s="34"/>
      <c r="D24" s="34"/>
      <c r="E24" s="51"/>
      <c r="F24" s="51"/>
      <c r="G24" s="3"/>
      <c r="H24" s="4"/>
    </row>
    <row r="25" spans="1:8" x14ac:dyDescent="0.4">
      <c r="A25" s="36" t="s">
        <v>74</v>
      </c>
      <c r="C25" s="34"/>
      <c r="D25" s="34"/>
      <c r="E25" s="51"/>
      <c r="F25" s="51"/>
      <c r="G25" s="3"/>
      <c r="H25" s="4"/>
    </row>
    <row r="26" spans="1:8" ht="6" customHeight="1" x14ac:dyDescent="0.4">
      <c r="A26" s="36"/>
      <c r="C26" s="34"/>
      <c r="D26" s="34"/>
      <c r="E26" s="51"/>
      <c r="F26" s="51"/>
      <c r="G26" s="3"/>
      <c r="H26" s="4"/>
    </row>
    <row r="27" spans="1:8" x14ac:dyDescent="0.4">
      <c r="A27" s="33" t="s">
        <v>46</v>
      </c>
      <c r="C27" s="34"/>
      <c r="D27" s="34"/>
      <c r="E27" s="51"/>
      <c r="F27" s="51"/>
      <c r="G27" s="3"/>
      <c r="H27" s="4"/>
    </row>
    <row r="28" spans="1:8" x14ac:dyDescent="0.4">
      <c r="B28" s="17" t="s">
        <v>5</v>
      </c>
      <c r="C28" s="34">
        <v>350129</v>
      </c>
      <c r="D28" s="34">
        <f>E28-C28</f>
        <v>74011</v>
      </c>
      <c r="E28" s="51">
        <f>'Payroll FY2024'!H19</f>
        <v>424140</v>
      </c>
      <c r="F28" s="51"/>
      <c r="G28" s="3"/>
      <c r="H28" s="4"/>
    </row>
    <row r="29" spans="1:8" x14ac:dyDescent="0.4">
      <c r="B29" s="17" t="s">
        <v>6</v>
      </c>
      <c r="C29" s="34">
        <v>5000</v>
      </c>
      <c r="D29" s="34">
        <f>E29-C29</f>
        <v>1000</v>
      </c>
      <c r="E29" s="51">
        <v>6000</v>
      </c>
      <c r="F29" s="51"/>
      <c r="G29" s="3"/>
      <c r="H29" s="4"/>
    </row>
    <row r="30" spans="1:8" x14ac:dyDescent="0.4">
      <c r="B30" s="17" t="s">
        <v>9</v>
      </c>
      <c r="C30" s="34">
        <v>26785</v>
      </c>
      <c r="D30" s="34">
        <f>E30-C30</f>
        <v>5661.7099999999991</v>
      </c>
      <c r="E30" s="51">
        <f>0.0765*E28</f>
        <v>32446.71</v>
      </c>
      <c r="F30" s="51"/>
      <c r="G30" s="3"/>
      <c r="H30" s="4"/>
    </row>
    <row r="31" spans="1:8" x14ac:dyDescent="0.4">
      <c r="B31" s="17" t="s">
        <v>7</v>
      </c>
      <c r="C31" s="34">
        <v>46200</v>
      </c>
      <c r="D31" s="34">
        <f>E31-C31</f>
        <v>-1140</v>
      </c>
      <c r="E31" s="51">
        <f>'Payroll FY2024'!J19</f>
        <v>45060</v>
      </c>
      <c r="F31" s="51"/>
      <c r="G31" s="3"/>
      <c r="H31" s="4"/>
    </row>
    <row r="32" spans="1:8" x14ac:dyDescent="0.4">
      <c r="B32" s="17" t="s">
        <v>117</v>
      </c>
      <c r="C32" s="34">
        <v>7003</v>
      </c>
      <c r="D32" s="34">
        <f t="shared" ref="D32:D38" si="1">E32-C32</f>
        <v>1479.7999999999993</v>
      </c>
      <c r="E32" s="51">
        <f>0.02*E28</f>
        <v>8482.7999999999993</v>
      </c>
      <c r="F32" s="51"/>
      <c r="G32" s="3"/>
      <c r="H32" s="4"/>
    </row>
    <row r="33" spans="2:8" x14ac:dyDescent="0.4">
      <c r="B33" s="17" t="s">
        <v>8</v>
      </c>
      <c r="C33" s="34">
        <v>4202</v>
      </c>
      <c r="D33" s="34">
        <f t="shared" si="1"/>
        <v>887.68000000000029</v>
      </c>
      <c r="E33" s="51">
        <f>0.012*E28</f>
        <v>5089.68</v>
      </c>
      <c r="F33" s="51"/>
      <c r="G33" s="3"/>
      <c r="H33" s="4"/>
    </row>
    <row r="34" spans="2:8" x14ac:dyDescent="0.4">
      <c r="B34" s="17" t="s">
        <v>10</v>
      </c>
      <c r="C34" s="34">
        <v>9800</v>
      </c>
      <c r="D34" s="34">
        <f t="shared" si="1"/>
        <v>20200</v>
      </c>
      <c r="E34" s="51">
        <v>30000</v>
      </c>
      <c r="F34" s="51"/>
      <c r="G34" s="3"/>
      <c r="H34" s="4"/>
    </row>
    <row r="35" spans="2:8" x14ac:dyDescent="0.4">
      <c r="B35" s="17" t="s">
        <v>12</v>
      </c>
      <c r="C35" s="34">
        <v>6000</v>
      </c>
      <c r="D35" s="34">
        <f t="shared" si="1"/>
        <v>2000</v>
      </c>
      <c r="E35" s="51">
        <v>8000</v>
      </c>
      <c r="F35" s="51"/>
      <c r="G35" s="3"/>
      <c r="H35" s="4"/>
    </row>
    <row r="36" spans="2:8" x14ac:dyDescent="0.4">
      <c r="B36" s="17" t="s">
        <v>89</v>
      </c>
      <c r="C36" s="34">
        <v>500</v>
      </c>
      <c r="D36" s="34">
        <f t="shared" si="1"/>
        <v>0</v>
      </c>
      <c r="E36" s="51">
        <v>500</v>
      </c>
      <c r="F36" s="51"/>
      <c r="G36" s="3"/>
      <c r="H36" s="4"/>
    </row>
    <row r="37" spans="2:8" x14ac:dyDescent="0.4">
      <c r="B37" s="38" t="s">
        <v>13</v>
      </c>
      <c r="C37" s="56">
        <v>1500</v>
      </c>
      <c r="D37" s="34">
        <f t="shared" si="1"/>
        <v>-500</v>
      </c>
      <c r="E37" s="53">
        <v>1000</v>
      </c>
      <c r="F37" s="51"/>
      <c r="G37" s="3"/>
      <c r="H37" s="4"/>
    </row>
    <row r="38" spans="2:8" x14ac:dyDescent="0.4">
      <c r="B38" s="38" t="s">
        <v>102</v>
      </c>
      <c r="C38" s="56">
        <v>61000</v>
      </c>
      <c r="D38" s="34">
        <f t="shared" si="1"/>
        <v>-61000</v>
      </c>
      <c r="E38" s="53"/>
      <c r="F38" s="51"/>
      <c r="G38" s="3"/>
      <c r="H38" s="4"/>
    </row>
    <row r="39" spans="2:8" x14ac:dyDescent="0.4">
      <c r="B39" s="17" t="s">
        <v>14</v>
      </c>
      <c r="C39" s="34">
        <v>3000</v>
      </c>
      <c r="D39" s="34">
        <f t="shared" ref="D39:D49" si="2">E39-C39</f>
        <v>-1500</v>
      </c>
      <c r="E39" s="51">
        <v>1500</v>
      </c>
      <c r="F39" s="51"/>
      <c r="G39" s="3"/>
      <c r="H39" s="4"/>
    </row>
    <row r="40" spans="2:8" x14ac:dyDescent="0.4">
      <c r="B40" s="17" t="s">
        <v>15</v>
      </c>
      <c r="C40" s="34">
        <v>0</v>
      </c>
      <c r="D40" s="34">
        <f t="shared" si="2"/>
        <v>0</v>
      </c>
      <c r="E40" s="51">
        <v>0</v>
      </c>
      <c r="F40" s="51"/>
      <c r="G40" s="3"/>
      <c r="H40" s="4"/>
    </row>
    <row r="41" spans="2:8" x14ac:dyDescent="0.4">
      <c r="B41" s="17" t="s">
        <v>16</v>
      </c>
      <c r="C41" s="34">
        <v>0</v>
      </c>
      <c r="D41" s="34">
        <f t="shared" si="2"/>
        <v>0</v>
      </c>
      <c r="E41" s="51">
        <v>0</v>
      </c>
      <c r="F41" s="51"/>
      <c r="G41" s="3"/>
      <c r="H41" s="4"/>
    </row>
    <row r="42" spans="2:8" x14ac:dyDescent="0.4">
      <c r="B42" s="17" t="s">
        <v>63</v>
      </c>
      <c r="C42" s="76">
        <v>4000</v>
      </c>
      <c r="D42" s="34">
        <f t="shared" si="2"/>
        <v>4400</v>
      </c>
      <c r="E42" s="101">
        <v>8400</v>
      </c>
      <c r="F42" s="51"/>
      <c r="G42" s="3"/>
      <c r="H42" s="4"/>
    </row>
    <row r="43" spans="2:8" x14ac:dyDescent="0.4">
      <c r="B43" s="17" t="s">
        <v>56</v>
      </c>
      <c r="C43" s="34">
        <v>1000</v>
      </c>
      <c r="D43" s="34">
        <f t="shared" si="2"/>
        <v>0</v>
      </c>
      <c r="E43" s="51">
        <v>1000</v>
      </c>
      <c r="F43" s="51"/>
      <c r="G43" s="3"/>
      <c r="H43" s="4"/>
    </row>
    <row r="44" spans="2:8" x14ac:dyDescent="0.4">
      <c r="B44" s="17" t="s">
        <v>57</v>
      </c>
      <c r="C44" s="34">
        <v>38890</v>
      </c>
      <c r="D44" s="34">
        <f t="shared" si="2"/>
        <v>-26890</v>
      </c>
      <c r="E44" s="51">
        <v>12000</v>
      </c>
      <c r="F44" s="51"/>
      <c r="G44" s="3"/>
      <c r="H44" s="4"/>
    </row>
    <row r="45" spans="2:8" x14ac:dyDescent="0.4">
      <c r="B45" s="17" t="s">
        <v>17</v>
      </c>
      <c r="C45" s="34">
        <v>18000</v>
      </c>
      <c r="D45" s="34">
        <f t="shared" si="2"/>
        <v>-14000</v>
      </c>
      <c r="E45" s="103">
        <v>4000</v>
      </c>
      <c r="F45" s="51"/>
      <c r="G45" s="3"/>
      <c r="H45" s="4"/>
    </row>
    <row r="46" spans="2:8" x14ac:dyDescent="0.4">
      <c r="B46" s="17" t="s">
        <v>47</v>
      </c>
      <c r="C46" s="34">
        <v>0</v>
      </c>
      <c r="D46" s="34">
        <f t="shared" si="2"/>
        <v>0</v>
      </c>
      <c r="E46" s="51">
        <v>0</v>
      </c>
      <c r="F46" s="51"/>
      <c r="G46" s="3"/>
      <c r="H46" s="4"/>
    </row>
    <row r="47" spans="2:8" x14ac:dyDescent="0.4">
      <c r="B47" s="17" t="s">
        <v>78</v>
      </c>
      <c r="C47" s="34">
        <v>3000</v>
      </c>
      <c r="D47" s="34">
        <f t="shared" si="2"/>
        <v>-500</v>
      </c>
      <c r="E47" s="51">
        <v>2500</v>
      </c>
      <c r="F47" s="51"/>
      <c r="G47" s="3"/>
      <c r="H47" s="4"/>
    </row>
    <row r="48" spans="2:8" x14ac:dyDescent="0.4">
      <c r="B48" s="17" t="s">
        <v>277</v>
      </c>
      <c r="C48" s="34">
        <v>0</v>
      </c>
      <c r="D48" s="34">
        <f t="shared" si="2"/>
        <v>2100</v>
      </c>
      <c r="E48" s="51">
        <v>2100</v>
      </c>
      <c r="F48" s="51"/>
      <c r="G48" s="3"/>
      <c r="H48" s="4"/>
    </row>
    <row r="49" spans="1:8" x14ac:dyDescent="0.4">
      <c r="B49" s="17" t="s">
        <v>18</v>
      </c>
      <c r="C49" s="37">
        <v>1545</v>
      </c>
      <c r="D49" s="37">
        <f t="shared" si="2"/>
        <v>3455</v>
      </c>
      <c r="E49" s="52">
        <v>5000</v>
      </c>
      <c r="F49" s="50"/>
      <c r="G49" s="3"/>
      <c r="H49" s="4"/>
    </row>
    <row r="50" spans="1:8" x14ac:dyDescent="0.4">
      <c r="B50" s="17" t="s">
        <v>19</v>
      </c>
      <c r="C50" s="34">
        <f>SUM(C28:C49)</f>
        <v>587554</v>
      </c>
      <c r="D50" s="86">
        <f>SUM(D28:D49)</f>
        <v>9665.1900000000023</v>
      </c>
      <c r="E50" s="51">
        <f>SUM(E28:E49)</f>
        <v>597219.18999999994</v>
      </c>
      <c r="F50" s="51"/>
      <c r="G50" s="3"/>
      <c r="H50" s="4"/>
    </row>
    <row r="51" spans="1:8" ht="6.75" customHeight="1" x14ac:dyDescent="0.4">
      <c r="C51" s="34"/>
      <c r="D51" s="34"/>
      <c r="E51" s="51"/>
      <c r="F51" s="51"/>
      <c r="G51" s="3"/>
      <c r="H51" s="4"/>
    </row>
    <row r="52" spans="1:8" x14ac:dyDescent="0.4">
      <c r="A52" s="33" t="s">
        <v>52</v>
      </c>
      <c r="C52" s="34"/>
      <c r="D52" s="34"/>
      <c r="E52" s="51"/>
      <c r="F52" s="51"/>
      <c r="G52" s="3"/>
      <c r="H52" s="4"/>
    </row>
    <row r="53" spans="1:8" x14ac:dyDescent="0.4">
      <c r="B53" s="17" t="s">
        <v>53</v>
      </c>
      <c r="C53" s="37">
        <v>100</v>
      </c>
      <c r="D53" s="37">
        <f>E53-C53</f>
        <v>0</v>
      </c>
      <c r="E53" s="52">
        <v>100</v>
      </c>
      <c r="F53" s="50"/>
      <c r="G53" s="3"/>
      <c r="H53" s="4"/>
    </row>
    <row r="54" spans="1:8" x14ac:dyDescent="0.4">
      <c r="B54" s="17" t="s">
        <v>72</v>
      </c>
      <c r="C54" s="34">
        <f>C53</f>
        <v>100</v>
      </c>
      <c r="D54" s="86">
        <f>D53</f>
        <v>0</v>
      </c>
      <c r="E54" s="51">
        <f>E53</f>
        <v>100</v>
      </c>
      <c r="F54" s="51"/>
      <c r="G54" s="3"/>
      <c r="H54" s="4"/>
    </row>
    <row r="55" spans="1:8" ht="6.75" customHeight="1" x14ac:dyDescent="0.4">
      <c r="C55" s="34"/>
      <c r="D55" s="34"/>
      <c r="E55" s="51"/>
      <c r="F55" s="51"/>
      <c r="G55" s="3"/>
      <c r="H55" s="4"/>
    </row>
    <row r="56" spans="1:8" x14ac:dyDescent="0.4">
      <c r="A56" s="33" t="s">
        <v>55</v>
      </c>
      <c r="C56" s="34"/>
      <c r="D56" s="34"/>
      <c r="E56" s="51"/>
      <c r="F56" s="51"/>
      <c r="G56" s="3"/>
      <c r="H56" s="4"/>
    </row>
    <row r="57" spans="1:8" x14ac:dyDescent="0.4">
      <c r="A57" s="33"/>
      <c r="B57" s="17" t="s">
        <v>61</v>
      </c>
      <c r="C57" s="46">
        <v>1500</v>
      </c>
      <c r="D57" s="34">
        <f>E57-C57</f>
        <v>900</v>
      </c>
      <c r="E57" s="50">
        <v>2400</v>
      </c>
      <c r="F57" s="50"/>
      <c r="G57" s="3"/>
      <c r="H57" s="4"/>
    </row>
    <row r="58" spans="1:8" x14ac:dyDescent="0.4">
      <c r="B58" s="17" t="s">
        <v>24</v>
      </c>
      <c r="C58" s="37">
        <v>0</v>
      </c>
      <c r="D58" s="37">
        <f>E58-C58</f>
        <v>0</v>
      </c>
      <c r="E58" s="102">
        <v>0</v>
      </c>
      <c r="F58" s="50"/>
      <c r="G58" s="3"/>
      <c r="H58" s="4"/>
    </row>
    <row r="59" spans="1:8" x14ac:dyDescent="0.4">
      <c r="B59" s="17" t="s">
        <v>73</v>
      </c>
      <c r="C59" s="87">
        <f>SUM(C57:C58)</f>
        <v>1500</v>
      </c>
      <c r="D59" s="86">
        <f>SUM(D57:D58)</f>
        <v>900</v>
      </c>
      <c r="E59" s="88">
        <v>2400</v>
      </c>
      <c r="F59" s="88"/>
      <c r="G59" s="3"/>
      <c r="H59" s="4"/>
    </row>
    <row r="60" spans="1:8" ht="6.75" customHeight="1" x14ac:dyDescent="0.4">
      <c r="C60" s="34"/>
      <c r="D60" s="34"/>
      <c r="E60" s="51"/>
      <c r="F60" s="51"/>
      <c r="G60" s="3"/>
      <c r="H60" s="4"/>
    </row>
    <row r="61" spans="1:8" x14ac:dyDescent="0.4">
      <c r="A61" s="33" t="s">
        <v>49</v>
      </c>
      <c r="C61" s="34"/>
      <c r="D61" s="34"/>
      <c r="E61" s="51"/>
      <c r="F61" s="51"/>
      <c r="G61" s="3"/>
      <c r="H61" s="4"/>
    </row>
    <row r="62" spans="1:8" x14ac:dyDescent="0.4">
      <c r="B62" s="17" t="s">
        <v>105</v>
      </c>
      <c r="C62" s="37">
        <v>36250</v>
      </c>
      <c r="D62" s="37">
        <f>E62-C62</f>
        <v>9306.9000000000015</v>
      </c>
      <c r="E62" s="52">
        <f>0.05*E10</f>
        <v>45556.9</v>
      </c>
      <c r="F62" s="50"/>
      <c r="G62" s="3"/>
      <c r="H62" s="4"/>
    </row>
    <row r="63" spans="1:8" x14ac:dyDescent="0.4">
      <c r="B63" s="17" t="s">
        <v>282</v>
      </c>
      <c r="C63" s="46"/>
      <c r="D63" s="46"/>
      <c r="E63" s="50">
        <v>6500</v>
      </c>
      <c r="F63" s="50"/>
      <c r="G63" s="3"/>
      <c r="H63" s="4"/>
    </row>
    <row r="64" spans="1:8" x14ac:dyDescent="0.4">
      <c r="B64" s="17" t="s">
        <v>106</v>
      </c>
      <c r="C64" s="87">
        <f>C62</f>
        <v>36250</v>
      </c>
      <c r="D64" s="86">
        <f>D62</f>
        <v>9306.9000000000015</v>
      </c>
      <c r="E64" s="88">
        <v>47000</v>
      </c>
      <c r="F64" s="88"/>
      <c r="G64" s="3"/>
      <c r="H64" s="4"/>
    </row>
    <row r="65" spans="1:8" ht="6.75" customHeight="1" x14ac:dyDescent="0.4">
      <c r="C65" s="34"/>
      <c r="D65" s="34"/>
      <c r="E65" s="51"/>
      <c r="F65" s="51"/>
      <c r="G65" s="3"/>
      <c r="H65" s="4"/>
    </row>
    <row r="66" spans="1:8" x14ac:dyDescent="0.4">
      <c r="A66" s="33" t="s">
        <v>20</v>
      </c>
      <c r="C66" s="34"/>
      <c r="D66" s="34"/>
      <c r="E66" s="51"/>
      <c r="F66" s="51"/>
      <c r="G66" s="3"/>
      <c r="H66" s="4"/>
    </row>
    <row r="67" spans="1:8" x14ac:dyDescent="0.4">
      <c r="B67" s="17" t="s">
        <v>21</v>
      </c>
      <c r="C67" s="34">
        <v>232000</v>
      </c>
      <c r="D67" s="34">
        <f t="shared" ref="D67:D82" si="3">E67-C67</f>
        <v>-63500</v>
      </c>
      <c r="E67" s="51">
        <f>'Payroll FY2024'!H26+'Payroll FY2024'!K26</f>
        <v>168500</v>
      </c>
      <c r="F67" s="51"/>
      <c r="G67" s="3"/>
      <c r="H67" s="4"/>
    </row>
    <row r="68" spans="1:8" x14ac:dyDescent="0.4">
      <c r="B68" s="17" t="s">
        <v>108</v>
      </c>
      <c r="C68" s="34">
        <v>17748</v>
      </c>
      <c r="D68" s="34">
        <f t="shared" si="3"/>
        <v>-4857.75</v>
      </c>
      <c r="E68" s="51">
        <f>E67*0.0765</f>
        <v>12890.25</v>
      </c>
      <c r="F68" s="51"/>
      <c r="G68" s="3"/>
      <c r="H68" s="4"/>
    </row>
    <row r="69" spans="1:8" x14ac:dyDescent="0.4">
      <c r="B69" s="17" t="s">
        <v>7</v>
      </c>
      <c r="C69" s="34">
        <v>12792</v>
      </c>
      <c r="D69" s="34">
        <f t="shared" si="3"/>
        <v>-5592</v>
      </c>
      <c r="E69" s="51">
        <f>'Payroll FY2024'!J26</f>
        <v>7200</v>
      </c>
      <c r="F69" s="51"/>
      <c r="G69" s="3"/>
      <c r="H69" s="4"/>
    </row>
    <row r="70" spans="1:8" x14ac:dyDescent="0.4">
      <c r="B70" s="17" t="s">
        <v>59</v>
      </c>
      <c r="C70" s="34">
        <v>4640</v>
      </c>
      <c r="D70" s="34">
        <f t="shared" si="3"/>
        <v>415</v>
      </c>
      <c r="E70" s="51">
        <f>E67*0.03</f>
        <v>5055</v>
      </c>
      <c r="F70" s="51"/>
      <c r="G70" s="3"/>
      <c r="H70" s="4"/>
    </row>
    <row r="71" spans="1:8" x14ac:dyDescent="0.4">
      <c r="B71" s="17" t="s">
        <v>22</v>
      </c>
      <c r="C71" s="34">
        <v>2320</v>
      </c>
      <c r="D71" s="34">
        <f t="shared" si="3"/>
        <v>-635</v>
      </c>
      <c r="E71" s="51">
        <f>0.01*E67</f>
        <v>1685</v>
      </c>
      <c r="F71" s="51"/>
      <c r="G71" s="3"/>
      <c r="H71" s="4"/>
    </row>
    <row r="72" spans="1:8" x14ac:dyDescent="0.4">
      <c r="B72" s="17" t="s">
        <v>23</v>
      </c>
      <c r="C72" s="34">
        <v>0</v>
      </c>
      <c r="D72" s="34">
        <f t="shared" si="3"/>
        <v>0</v>
      </c>
      <c r="E72" s="51"/>
      <c r="F72" s="51"/>
      <c r="G72" s="3"/>
      <c r="H72" s="4"/>
    </row>
    <row r="73" spans="1:8" x14ac:dyDescent="0.4">
      <c r="B73" s="17" t="s">
        <v>62</v>
      </c>
      <c r="C73" s="34">
        <v>3300</v>
      </c>
      <c r="D73" s="34">
        <f t="shared" si="3"/>
        <v>0</v>
      </c>
      <c r="E73" s="51">
        <v>3300</v>
      </c>
      <c r="F73" s="51"/>
      <c r="G73" s="3"/>
      <c r="H73" s="4"/>
    </row>
    <row r="74" spans="1:8" x14ac:dyDescent="0.4">
      <c r="B74" s="17" t="s">
        <v>278</v>
      </c>
      <c r="C74" s="34">
        <v>0</v>
      </c>
      <c r="D74" s="34">
        <f t="shared" si="3"/>
        <v>1400</v>
      </c>
      <c r="E74" s="103">
        <v>1400</v>
      </c>
      <c r="F74" s="51"/>
      <c r="G74" s="3"/>
      <c r="H74" s="4"/>
    </row>
    <row r="75" spans="1:8" x14ac:dyDescent="0.4">
      <c r="B75" s="17" t="s">
        <v>25</v>
      </c>
      <c r="C75" s="34">
        <v>500</v>
      </c>
      <c r="D75" s="34">
        <f t="shared" si="3"/>
        <v>0</v>
      </c>
      <c r="E75" s="51">
        <v>500</v>
      </c>
      <c r="F75" s="51"/>
      <c r="G75" s="3"/>
      <c r="H75" s="4"/>
    </row>
    <row r="76" spans="1:8" x14ac:dyDescent="0.4">
      <c r="B76" s="17" t="s">
        <v>112</v>
      </c>
      <c r="C76" s="34">
        <v>20000</v>
      </c>
      <c r="D76" s="34">
        <f t="shared" si="3"/>
        <v>-15000</v>
      </c>
      <c r="E76" s="103">
        <v>5000</v>
      </c>
      <c r="F76" s="51"/>
      <c r="G76" s="3"/>
      <c r="H76" s="4"/>
    </row>
    <row r="77" spans="1:8" x14ac:dyDescent="0.4">
      <c r="B77" s="17" t="s">
        <v>26</v>
      </c>
      <c r="C77" s="34">
        <v>1000</v>
      </c>
      <c r="D77" s="34">
        <f t="shared" si="3"/>
        <v>-500</v>
      </c>
      <c r="E77" s="51">
        <v>500</v>
      </c>
      <c r="F77" s="51"/>
      <c r="G77" s="3"/>
      <c r="H77" s="4"/>
    </row>
    <row r="78" spans="1:8" x14ac:dyDescent="0.4">
      <c r="B78" s="17" t="s">
        <v>27</v>
      </c>
      <c r="C78" s="34">
        <v>500</v>
      </c>
      <c r="D78" s="34">
        <f t="shared" si="3"/>
        <v>0</v>
      </c>
      <c r="E78" s="51">
        <v>500</v>
      </c>
      <c r="F78" s="51"/>
      <c r="G78" s="3"/>
      <c r="H78" s="4"/>
    </row>
    <row r="79" spans="1:8" x14ac:dyDescent="0.4">
      <c r="B79" s="17" t="s">
        <v>50</v>
      </c>
      <c r="C79" s="34">
        <v>200</v>
      </c>
      <c r="D79" s="34">
        <f t="shared" si="3"/>
        <v>0</v>
      </c>
      <c r="E79" s="51">
        <v>200</v>
      </c>
      <c r="F79" s="51"/>
      <c r="G79" s="3"/>
      <c r="H79" s="4"/>
    </row>
    <row r="80" spans="1:8" x14ac:dyDescent="0.4">
      <c r="B80" s="17" t="s">
        <v>28</v>
      </c>
      <c r="C80" s="34">
        <v>700</v>
      </c>
      <c r="D80" s="34">
        <f t="shared" si="3"/>
        <v>0</v>
      </c>
      <c r="E80" s="51">
        <v>700</v>
      </c>
      <c r="F80" s="51"/>
      <c r="G80" s="3"/>
      <c r="H80" s="4"/>
    </row>
    <row r="81" spans="1:8" x14ac:dyDescent="0.4">
      <c r="B81" s="17" t="s">
        <v>29</v>
      </c>
      <c r="C81" s="46">
        <v>200</v>
      </c>
      <c r="D81" s="46">
        <f t="shared" si="3"/>
        <v>50</v>
      </c>
      <c r="E81" s="50">
        <v>250</v>
      </c>
      <c r="F81" s="51"/>
      <c r="G81" s="3"/>
      <c r="H81" s="4"/>
    </row>
    <row r="82" spans="1:8" x14ac:dyDescent="0.4">
      <c r="B82" s="38" t="s">
        <v>96</v>
      </c>
      <c r="C82" s="65">
        <v>0</v>
      </c>
      <c r="D82" s="65">
        <f t="shared" si="3"/>
        <v>0</v>
      </c>
      <c r="E82" s="66">
        <v>0</v>
      </c>
      <c r="F82" s="50"/>
      <c r="G82" s="3"/>
      <c r="H82" s="4"/>
    </row>
    <row r="83" spans="1:8" x14ac:dyDescent="0.4">
      <c r="B83" s="17" t="s">
        <v>33</v>
      </c>
      <c r="C83" s="32">
        <f>SUM(C67:C82)</f>
        <v>295900</v>
      </c>
      <c r="D83" s="32">
        <f>SUM(D67:D82)</f>
        <v>-88219.75</v>
      </c>
      <c r="E83" s="36">
        <f>SUM(E67:E82)</f>
        <v>207680.25</v>
      </c>
      <c r="F83" s="88"/>
      <c r="G83" s="3"/>
      <c r="H83" s="4"/>
    </row>
    <row r="84" spans="1:8" ht="6.75" customHeight="1" x14ac:dyDescent="0.4">
      <c r="C84" s="34"/>
      <c r="D84" s="34"/>
      <c r="E84" s="51"/>
      <c r="F84" s="51"/>
      <c r="G84" s="3"/>
      <c r="H84" s="4"/>
    </row>
    <row r="85" spans="1:8" x14ac:dyDescent="0.4">
      <c r="A85" s="33" t="s">
        <v>48</v>
      </c>
      <c r="C85" s="34"/>
      <c r="D85" s="34"/>
      <c r="E85" s="51"/>
      <c r="F85" s="51"/>
      <c r="G85" s="3"/>
      <c r="H85" s="4"/>
    </row>
    <row r="86" spans="1:8" x14ac:dyDescent="0.4">
      <c r="B86" s="17" t="s">
        <v>23</v>
      </c>
      <c r="C86" s="34">
        <v>5000</v>
      </c>
      <c r="D86" s="34">
        <f>E86-C86</f>
        <v>-4500</v>
      </c>
      <c r="E86" s="51">
        <v>500</v>
      </c>
      <c r="F86" s="51"/>
      <c r="G86" s="3"/>
      <c r="H86" s="4"/>
    </row>
    <row r="87" spans="1:8" x14ac:dyDescent="0.4">
      <c r="B87" s="17" t="s">
        <v>11</v>
      </c>
      <c r="C87" s="34">
        <v>20000</v>
      </c>
      <c r="D87" s="34">
        <f>E87-C87</f>
        <v>8000</v>
      </c>
      <c r="E87" s="51">
        <v>28000</v>
      </c>
      <c r="F87" s="51"/>
      <c r="G87" s="3"/>
      <c r="H87" s="4"/>
    </row>
    <row r="88" spans="1:8" x14ac:dyDescent="0.4">
      <c r="B88" s="17" t="s">
        <v>30</v>
      </c>
      <c r="C88" s="34">
        <v>26400</v>
      </c>
      <c r="D88" s="34">
        <f>E88-C88</f>
        <v>0</v>
      </c>
      <c r="E88" s="51">
        <v>26400</v>
      </c>
      <c r="F88" s="51"/>
      <c r="G88" s="3"/>
      <c r="H88" s="4"/>
    </row>
    <row r="89" spans="1:8" x14ac:dyDescent="0.4">
      <c r="B89" s="17" t="s">
        <v>31</v>
      </c>
      <c r="C89" s="34">
        <v>6500</v>
      </c>
      <c r="D89" s="34">
        <f>E89-C89</f>
        <v>1500</v>
      </c>
      <c r="E89" s="51">
        <v>8000</v>
      </c>
      <c r="F89" s="51"/>
      <c r="G89" s="3"/>
      <c r="H89" s="4"/>
    </row>
    <row r="90" spans="1:8" x14ac:dyDescent="0.4">
      <c r="B90" s="17" t="s">
        <v>32</v>
      </c>
      <c r="C90" s="37">
        <v>10000</v>
      </c>
      <c r="D90" s="37">
        <f>E90-C90</f>
        <v>4000</v>
      </c>
      <c r="E90" s="52">
        <v>14000</v>
      </c>
      <c r="F90" s="50"/>
      <c r="G90" s="3"/>
      <c r="H90" s="4"/>
    </row>
    <row r="91" spans="1:8" x14ac:dyDescent="0.4">
      <c r="B91" s="17" t="s">
        <v>34</v>
      </c>
      <c r="C91" s="87">
        <f>SUM(C86:C90)</f>
        <v>67900</v>
      </c>
      <c r="D91" s="17">
        <f>SUM(D86:D90)</f>
        <v>9000</v>
      </c>
      <c r="E91" s="88">
        <f>SUM(E86:E90)</f>
        <v>76900</v>
      </c>
      <c r="F91" s="88"/>
      <c r="G91" s="3"/>
      <c r="H91" s="4"/>
    </row>
    <row r="92" spans="1:8" ht="6.75" customHeight="1" x14ac:dyDescent="0.4">
      <c r="C92" s="34"/>
      <c r="D92" s="34"/>
      <c r="E92" s="51"/>
      <c r="F92" s="51"/>
      <c r="G92" s="3"/>
      <c r="H92" s="4"/>
    </row>
    <row r="93" spans="1:8" x14ac:dyDescent="0.4">
      <c r="A93" s="33" t="s">
        <v>60</v>
      </c>
      <c r="C93" s="34"/>
      <c r="D93" s="34"/>
      <c r="E93" s="51"/>
      <c r="F93" s="51"/>
      <c r="G93" s="3"/>
      <c r="H93" s="4"/>
    </row>
    <row r="94" spans="1:8" x14ac:dyDescent="0.4">
      <c r="B94" s="17" t="s">
        <v>110</v>
      </c>
      <c r="C94" s="37">
        <v>500</v>
      </c>
      <c r="D94" s="37">
        <f>E94-C94</f>
        <v>1935</v>
      </c>
      <c r="E94" s="52">
        <v>2435</v>
      </c>
      <c r="F94" s="50"/>
      <c r="G94" s="3"/>
      <c r="H94" s="4"/>
    </row>
    <row r="95" spans="1:8" x14ac:dyDescent="0.4">
      <c r="B95" s="17" t="s">
        <v>80</v>
      </c>
      <c r="C95" s="87">
        <f>C94</f>
        <v>500</v>
      </c>
      <c r="D95" s="86">
        <f>D94</f>
        <v>1935</v>
      </c>
      <c r="E95" s="88">
        <f>E94</f>
        <v>2435</v>
      </c>
      <c r="F95" s="88"/>
      <c r="G95" s="3"/>
      <c r="H95" s="4"/>
    </row>
    <row r="96" spans="1:8" x14ac:dyDescent="0.4">
      <c r="C96" s="34"/>
      <c r="D96" s="34"/>
      <c r="E96" s="51"/>
      <c r="F96" s="51"/>
      <c r="G96" s="3"/>
      <c r="H96" s="4"/>
    </row>
    <row r="97" spans="1:8" x14ac:dyDescent="0.4">
      <c r="A97" s="33" t="s">
        <v>35</v>
      </c>
      <c r="C97" s="34"/>
      <c r="D97" s="34"/>
      <c r="E97" s="51"/>
      <c r="F97" s="51"/>
      <c r="G97" s="3"/>
      <c r="H97" s="4"/>
    </row>
    <row r="98" spans="1:8" x14ac:dyDescent="0.4">
      <c r="B98" s="17" t="s">
        <v>36</v>
      </c>
      <c r="C98" s="37">
        <v>2000</v>
      </c>
      <c r="D98" s="37">
        <f>E98-C98</f>
        <v>3000</v>
      </c>
      <c r="E98" s="52">
        <v>5000</v>
      </c>
      <c r="F98" s="50"/>
      <c r="G98" s="3"/>
      <c r="H98" s="4"/>
    </row>
    <row r="99" spans="1:8" x14ac:dyDescent="0.4">
      <c r="B99" s="17" t="s">
        <v>37</v>
      </c>
      <c r="C99" s="87">
        <f>C98</f>
        <v>2000</v>
      </c>
      <c r="D99" s="86">
        <f>D98</f>
        <v>3000</v>
      </c>
      <c r="E99" s="88">
        <f>E98</f>
        <v>5000</v>
      </c>
      <c r="F99" s="88"/>
      <c r="G99" s="3"/>
      <c r="H99" s="4"/>
    </row>
    <row r="100" spans="1:8" ht="6.75" customHeight="1" x14ac:dyDescent="0.4">
      <c r="C100" s="34"/>
      <c r="D100" s="34"/>
      <c r="E100" s="51"/>
      <c r="F100" s="51"/>
      <c r="G100" s="3"/>
      <c r="H100" s="4"/>
    </row>
    <row r="101" spans="1:8" x14ac:dyDescent="0.4">
      <c r="A101" s="33" t="s">
        <v>38</v>
      </c>
      <c r="C101" s="34"/>
      <c r="D101" s="34"/>
      <c r="E101" s="51"/>
      <c r="F101" s="51"/>
      <c r="G101" s="3"/>
      <c r="H101" s="4"/>
    </row>
    <row r="102" spans="1:8" x14ac:dyDescent="0.4">
      <c r="B102" s="17" t="s">
        <v>128</v>
      </c>
      <c r="C102" s="34">
        <v>2600</v>
      </c>
      <c r="D102" s="34">
        <f t="shared" ref="D102:D107" si="4">E102-C102</f>
        <v>-600</v>
      </c>
      <c r="E102" s="103">
        <v>2000</v>
      </c>
      <c r="F102" s="51"/>
      <c r="G102" s="3"/>
      <c r="H102" s="4"/>
    </row>
    <row r="103" spans="1:8" x14ac:dyDescent="0.4">
      <c r="B103" s="17" t="s">
        <v>51</v>
      </c>
      <c r="C103" s="34">
        <v>3114</v>
      </c>
      <c r="D103" s="34">
        <f t="shared" si="4"/>
        <v>2141</v>
      </c>
      <c r="E103" s="51">
        <v>5255</v>
      </c>
      <c r="F103" s="51"/>
      <c r="G103" s="3"/>
      <c r="H103" s="4"/>
    </row>
    <row r="104" spans="1:8" ht="13.5" customHeight="1" x14ac:dyDescent="0.4">
      <c r="B104" s="17" t="s">
        <v>39</v>
      </c>
      <c r="C104" s="34">
        <v>1000</v>
      </c>
      <c r="D104" s="34">
        <f t="shared" si="4"/>
        <v>0</v>
      </c>
      <c r="E104" s="51">
        <v>1000</v>
      </c>
      <c r="F104" s="51"/>
      <c r="G104" s="3"/>
      <c r="H104" s="4"/>
    </row>
    <row r="105" spans="1:8" ht="13.5" customHeight="1" x14ac:dyDescent="0.4">
      <c r="B105" s="17" t="s">
        <v>64</v>
      </c>
      <c r="C105" s="34">
        <v>19500</v>
      </c>
      <c r="D105" s="34">
        <f t="shared" si="4"/>
        <v>0</v>
      </c>
      <c r="E105" s="51">
        <v>19500</v>
      </c>
      <c r="F105" s="51"/>
      <c r="G105" s="3"/>
      <c r="H105" s="4"/>
    </row>
    <row r="106" spans="1:8" ht="13.5" customHeight="1" x14ac:dyDescent="0.4">
      <c r="B106" s="17" t="s">
        <v>40</v>
      </c>
      <c r="C106" s="34">
        <v>36000</v>
      </c>
      <c r="D106" s="34">
        <f t="shared" si="4"/>
        <v>4000</v>
      </c>
      <c r="E106" s="51">
        <v>40000</v>
      </c>
      <c r="F106" s="51"/>
      <c r="G106" s="3"/>
      <c r="H106" s="4"/>
    </row>
    <row r="107" spans="1:8" x14ac:dyDescent="0.4">
      <c r="B107" s="17" t="s">
        <v>18</v>
      </c>
      <c r="C107" s="37">
        <v>7648</v>
      </c>
      <c r="D107" s="37">
        <f t="shared" si="4"/>
        <v>0.17000000000007276</v>
      </c>
      <c r="E107" s="52">
        <v>7648.17</v>
      </c>
      <c r="F107" s="50"/>
      <c r="G107" s="3"/>
      <c r="H107" s="4"/>
    </row>
    <row r="108" spans="1:8" x14ac:dyDescent="0.4">
      <c r="B108" s="17" t="s">
        <v>41</v>
      </c>
      <c r="C108" s="87">
        <f>SUM(C102:C107)</f>
        <v>69862</v>
      </c>
      <c r="D108" s="86">
        <f>SUM(D102:D107)</f>
        <v>5541.17</v>
      </c>
      <c r="E108" s="88">
        <f>SUM(E102:E107)</f>
        <v>75403.17</v>
      </c>
      <c r="F108" s="88"/>
      <c r="G108" s="3"/>
      <c r="H108" s="4"/>
    </row>
    <row r="109" spans="1:8" ht="6.75" customHeight="1" x14ac:dyDescent="0.4">
      <c r="C109" s="34"/>
      <c r="D109" s="34"/>
      <c r="E109" s="51"/>
      <c r="F109" s="51"/>
      <c r="G109" s="3"/>
      <c r="H109" s="4"/>
    </row>
    <row r="110" spans="1:8" x14ac:dyDescent="0.4">
      <c r="A110" s="33" t="s">
        <v>42</v>
      </c>
      <c r="C110" s="34"/>
      <c r="D110" s="34"/>
      <c r="E110" s="51"/>
      <c r="F110" s="51"/>
      <c r="G110" s="3"/>
      <c r="H110" s="4"/>
    </row>
    <row r="111" spans="1:8" x14ac:dyDescent="0.4">
      <c r="A111" s="33"/>
      <c r="B111" s="17" t="s">
        <v>98</v>
      </c>
      <c r="C111" s="34">
        <v>23164</v>
      </c>
      <c r="D111" s="34">
        <f t="shared" ref="D111:D118" si="5">E111-C111</f>
        <v>10336</v>
      </c>
      <c r="E111" s="51">
        <f>'Payroll FY2024'!H32</f>
        <v>33500</v>
      </c>
      <c r="F111" s="51"/>
      <c r="G111" s="3"/>
      <c r="H111" s="4"/>
    </row>
    <row r="112" spans="1:8" x14ac:dyDescent="0.4">
      <c r="A112" s="33"/>
      <c r="B112" s="17" t="s">
        <v>111</v>
      </c>
      <c r="C112" s="34">
        <v>22800</v>
      </c>
      <c r="D112" s="34">
        <f t="shared" si="5"/>
        <v>-8800</v>
      </c>
      <c r="E112" s="103">
        <v>14000</v>
      </c>
      <c r="F112" s="51"/>
      <c r="G112" s="3"/>
      <c r="H112" s="4"/>
    </row>
    <row r="113" spans="1:8" x14ac:dyDescent="0.4">
      <c r="A113" s="33"/>
      <c r="B113" s="17" t="s">
        <v>108</v>
      </c>
      <c r="C113" s="34">
        <v>3516</v>
      </c>
      <c r="D113" s="34">
        <f t="shared" si="5"/>
        <v>-953.25</v>
      </c>
      <c r="E113" s="51">
        <f>(E111)*0.0765</f>
        <v>2562.75</v>
      </c>
      <c r="F113" s="51"/>
      <c r="G113" s="3"/>
      <c r="H113" s="4"/>
    </row>
    <row r="114" spans="1:8" x14ac:dyDescent="0.4">
      <c r="A114" s="33"/>
      <c r="B114" s="17" t="s">
        <v>109</v>
      </c>
      <c r="C114" s="34">
        <v>552</v>
      </c>
      <c r="D114" s="34">
        <f t="shared" si="5"/>
        <v>-150</v>
      </c>
      <c r="E114" s="51">
        <f>0.012*(E111)</f>
        <v>402</v>
      </c>
      <c r="F114" s="51"/>
      <c r="G114" s="3"/>
      <c r="H114" s="4"/>
    </row>
    <row r="115" spans="1:8" x14ac:dyDescent="0.4">
      <c r="A115" s="17" t="s">
        <v>43</v>
      </c>
      <c r="B115" s="17" t="s">
        <v>44</v>
      </c>
      <c r="C115" s="34">
        <v>10000</v>
      </c>
      <c r="D115" s="34">
        <f t="shared" si="5"/>
        <v>-2000</v>
      </c>
      <c r="E115" s="51">
        <v>8000</v>
      </c>
      <c r="F115" s="51"/>
      <c r="G115" s="3"/>
      <c r="H115" s="4"/>
    </row>
    <row r="116" spans="1:8" x14ac:dyDescent="0.4">
      <c r="B116" s="17" t="s">
        <v>107</v>
      </c>
      <c r="C116" s="34">
        <v>2600</v>
      </c>
      <c r="D116" s="34">
        <f t="shared" si="5"/>
        <v>6500</v>
      </c>
      <c r="E116" s="51">
        <v>9100</v>
      </c>
      <c r="F116" s="51"/>
      <c r="G116" s="3"/>
      <c r="H116" s="4"/>
    </row>
    <row r="117" spans="1:8" x14ac:dyDescent="0.4">
      <c r="B117" s="17" t="s">
        <v>270</v>
      </c>
      <c r="C117" s="34">
        <v>881</v>
      </c>
      <c r="D117" s="34">
        <f t="shared" si="5"/>
        <v>-881</v>
      </c>
      <c r="E117" s="51">
        <v>0</v>
      </c>
      <c r="F117" s="51"/>
      <c r="G117" s="3"/>
      <c r="H117" s="4"/>
    </row>
    <row r="118" spans="1:8" x14ac:dyDescent="0.4">
      <c r="B118" s="17" t="s">
        <v>12</v>
      </c>
      <c r="C118" s="37">
        <v>5500</v>
      </c>
      <c r="D118" s="37">
        <f t="shared" si="5"/>
        <v>0</v>
      </c>
      <c r="E118" s="52">
        <v>5500</v>
      </c>
      <c r="F118" s="50"/>
      <c r="G118" s="3"/>
      <c r="H118" s="4"/>
    </row>
    <row r="119" spans="1:8" x14ac:dyDescent="0.4">
      <c r="B119" s="17" t="s">
        <v>45</v>
      </c>
      <c r="C119" s="87">
        <f>SUM(C111:C118)</f>
        <v>69013</v>
      </c>
      <c r="D119" s="86">
        <f>SUM(D111:D118)</f>
        <v>4051.75</v>
      </c>
      <c r="E119" s="88">
        <f>SUM(E111:E118)</f>
        <v>73064.75</v>
      </c>
      <c r="F119" s="88"/>
      <c r="G119" s="3"/>
      <c r="H119" s="4"/>
    </row>
    <row r="120" spans="1:8" ht="6.75" customHeight="1" x14ac:dyDescent="0.4">
      <c r="C120" s="34"/>
      <c r="D120" s="34"/>
      <c r="E120" s="51"/>
      <c r="F120" s="51"/>
      <c r="G120" s="3"/>
      <c r="H120" s="4"/>
    </row>
    <row r="121" spans="1:8" x14ac:dyDescent="0.4">
      <c r="A121" s="33" t="s">
        <v>76</v>
      </c>
      <c r="C121" s="37">
        <v>1500</v>
      </c>
      <c r="D121" s="37">
        <f>E121-C121</f>
        <v>-500</v>
      </c>
      <c r="E121" s="52">
        <v>1000</v>
      </c>
      <c r="F121" s="50"/>
      <c r="G121" s="3"/>
      <c r="H121" s="4"/>
    </row>
    <row r="122" spans="1:8" x14ac:dyDescent="0.4">
      <c r="A122" s="33"/>
      <c r="B122" s="17" t="s">
        <v>77</v>
      </c>
      <c r="C122" s="87">
        <f>C121</f>
        <v>1500</v>
      </c>
      <c r="D122" s="86">
        <f>D121</f>
        <v>-500</v>
      </c>
      <c r="E122" s="88">
        <f>E121</f>
        <v>1000</v>
      </c>
      <c r="F122" s="134"/>
      <c r="G122" s="3"/>
      <c r="H122" s="4"/>
    </row>
    <row r="123" spans="1:8" ht="6.75" customHeight="1" x14ac:dyDescent="0.4">
      <c r="C123" s="34"/>
      <c r="D123" s="34"/>
      <c r="E123" s="51"/>
      <c r="F123" s="135"/>
      <c r="G123" s="3"/>
      <c r="H123" s="4"/>
    </row>
    <row r="124" spans="1:8" x14ac:dyDescent="0.4">
      <c r="B124" s="17" t="s">
        <v>58</v>
      </c>
      <c r="C124" s="56">
        <f>C50+C54+C59+C64+C83+C91+C95+C99+C108+C119+C122</f>
        <v>1132079</v>
      </c>
      <c r="D124" s="56">
        <f>D50+D54+D59+D64+D83+D91+D95+D99+D108+D119+D122</f>
        <v>-45319.740000000005</v>
      </c>
      <c r="E124" s="56">
        <f>E50+E54+E59+E64+E83+E91+E95+E99+E108+E119+E122</f>
        <v>1088202.3599999999</v>
      </c>
      <c r="F124" s="136"/>
      <c r="G124" s="3"/>
      <c r="H124" s="4"/>
    </row>
    <row r="125" spans="1:8" ht="6.75" customHeight="1" x14ac:dyDescent="0.4">
      <c r="C125" s="34"/>
      <c r="D125" s="34"/>
      <c r="E125" s="51"/>
      <c r="F125" s="51"/>
      <c r="G125" s="3"/>
      <c r="H125" s="4"/>
    </row>
    <row r="126" spans="1:8" x14ac:dyDescent="0.4">
      <c r="A126" s="33" t="s">
        <v>68</v>
      </c>
      <c r="C126" s="34"/>
      <c r="D126" s="34"/>
      <c r="E126" s="51"/>
      <c r="G126" s="3"/>
      <c r="H126" s="4"/>
    </row>
    <row r="127" spans="1:8" x14ac:dyDescent="0.4">
      <c r="B127" s="17" t="s">
        <v>127</v>
      </c>
      <c r="C127" s="105">
        <v>33356</v>
      </c>
      <c r="D127" s="37">
        <f>E127-C127</f>
        <v>5644</v>
      </c>
      <c r="E127" s="52">
        <v>39000</v>
      </c>
      <c r="F127" s="50"/>
      <c r="G127" s="3"/>
      <c r="H127" s="4"/>
    </row>
    <row r="128" spans="1:8" x14ac:dyDescent="0.4">
      <c r="B128" s="17" t="s">
        <v>69</v>
      </c>
      <c r="C128" s="34">
        <f>C127</f>
        <v>33356</v>
      </c>
      <c r="D128" s="34">
        <f>D127</f>
        <v>5644</v>
      </c>
      <c r="E128" s="51">
        <f>E127</f>
        <v>39000</v>
      </c>
      <c r="F128" s="51"/>
      <c r="G128" s="3"/>
      <c r="H128" s="4"/>
    </row>
    <row r="129" spans="1:8" ht="6.75" customHeight="1" x14ac:dyDescent="0.4">
      <c r="C129" s="34"/>
      <c r="D129" s="34"/>
      <c r="E129" s="51"/>
      <c r="F129" s="51"/>
      <c r="G129" s="3"/>
      <c r="H129" s="4"/>
    </row>
    <row r="130" spans="1:8" ht="12.75" customHeight="1" x14ac:dyDescent="0.4">
      <c r="A130" s="33" t="s">
        <v>103</v>
      </c>
      <c r="C130" s="34"/>
      <c r="D130" s="34"/>
      <c r="E130" s="51"/>
      <c r="F130" s="51"/>
      <c r="G130" s="3"/>
      <c r="H130" s="4"/>
    </row>
    <row r="131" spans="1:8" ht="12.75" customHeight="1" x14ac:dyDescent="0.4">
      <c r="B131" s="17" t="s">
        <v>104</v>
      </c>
      <c r="C131" s="37">
        <v>0</v>
      </c>
      <c r="D131" s="37">
        <f>E131-C131</f>
        <v>0</v>
      </c>
      <c r="E131" s="52"/>
      <c r="F131" s="51"/>
      <c r="G131" s="3"/>
      <c r="H131" s="4"/>
    </row>
    <row r="132" spans="1:8" ht="12.75" customHeight="1" x14ac:dyDescent="0.4">
      <c r="C132" s="34">
        <f>C131</f>
        <v>0</v>
      </c>
      <c r="D132" s="51">
        <f>D131</f>
        <v>0</v>
      </c>
      <c r="E132" s="51">
        <f>E131</f>
        <v>0</v>
      </c>
      <c r="F132" s="51"/>
      <c r="G132" s="3"/>
      <c r="H132" s="4"/>
    </row>
    <row r="133" spans="1:8" ht="12.75" customHeight="1" x14ac:dyDescent="0.4">
      <c r="C133" s="37"/>
      <c r="D133" s="37"/>
      <c r="E133" s="52"/>
      <c r="F133" s="51"/>
      <c r="G133" s="3"/>
      <c r="H133" s="4"/>
    </row>
    <row r="134" spans="1:8" ht="12.75" customHeight="1" x14ac:dyDescent="0.4">
      <c r="C134" s="34"/>
      <c r="D134" s="34"/>
      <c r="E134" s="51"/>
      <c r="F134" s="51"/>
      <c r="G134" s="3"/>
      <c r="H134" s="4"/>
    </row>
    <row r="135" spans="1:8" x14ac:dyDescent="0.4">
      <c r="A135" s="17" t="s">
        <v>70</v>
      </c>
      <c r="C135" s="84">
        <f>C23+C132</f>
        <v>954369</v>
      </c>
      <c r="D135" s="84">
        <f>D23+D132</f>
        <v>174991</v>
      </c>
      <c r="E135" s="85">
        <f>E23+E132</f>
        <v>1114556</v>
      </c>
      <c r="F135" s="85"/>
      <c r="G135" s="3"/>
      <c r="H135" s="4"/>
    </row>
    <row r="136" spans="1:8" x14ac:dyDescent="0.4">
      <c r="A136" s="17" t="s">
        <v>67</v>
      </c>
      <c r="C136" s="87">
        <f>C124+C128</f>
        <v>1165435</v>
      </c>
      <c r="D136" s="86">
        <f>-D124-D128</f>
        <v>39675.740000000005</v>
      </c>
      <c r="E136" s="88">
        <f>-E124-E128</f>
        <v>-1127202.3599999999</v>
      </c>
      <c r="F136" s="88"/>
      <c r="G136" s="3"/>
      <c r="H136" s="4"/>
    </row>
    <row r="137" spans="1:8" x14ac:dyDescent="0.4">
      <c r="A137" s="17" t="s">
        <v>66</v>
      </c>
      <c r="C137" s="34">
        <f>C49+C107</f>
        <v>9193</v>
      </c>
      <c r="D137" s="89">
        <v>0</v>
      </c>
      <c r="E137" s="51">
        <f>E107+E49</f>
        <v>12648.17</v>
      </c>
      <c r="F137" s="51"/>
      <c r="G137" s="3"/>
      <c r="H137" s="4"/>
    </row>
    <row r="138" spans="1:8" ht="13.5" thickBot="1" x14ac:dyDescent="0.45">
      <c r="A138" s="17" t="s">
        <v>101</v>
      </c>
      <c r="C138" s="77">
        <f>C135-C136+C137</f>
        <v>-201873</v>
      </c>
      <c r="D138" s="39">
        <f>D135+D136+D137</f>
        <v>214666.74</v>
      </c>
      <c r="E138" s="63">
        <f>E135+E136+E137</f>
        <v>1.8100000001304579</v>
      </c>
      <c r="F138" s="57"/>
      <c r="G138" s="3"/>
      <c r="H138" s="4"/>
    </row>
    <row r="139" spans="1:8" ht="13.5" thickTop="1" x14ac:dyDescent="0.4">
      <c r="G139" s="3"/>
      <c r="H139" s="4"/>
    </row>
    <row r="140" spans="1:8" x14ac:dyDescent="0.4">
      <c r="B140" s="83"/>
      <c r="G140" s="3"/>
      <c r="H140" s="4"/>
    </row>
    <row r="141" spans="1:8" x14ac:dyDescent="0.4">
      <c r="B141" s="80"/>
      <c r="C141" s="81"/>
      <c r="D141" s="82"/>
      <c r="G141" s="3"/>
      <c r="H141" s="4"/>
    </row>
    <row r="142" spans="1:8" x14ac:dyDescent="0.4">
      <c r="B142" s="80"/>
      <c r="C142" s="81"/>
      <c r="D142" s="82"/>
      <c r="G142" s="3"/>
      <c r="H142" s="4"/>
    </row>
    <row r="143" spans="1:8" x14ac:dyDescent="0.4">
      <c r="A143" s="40"/>
      <c r="B143" s="40"/>
      <c r="C143" s="42"/>
      <c r="D143" s="41"/>
      <c r="E143" s="42"/>
      <c r="F143" s="42"/>
      <c r="G143" s="42"/>
      <c r="H143" s="4"/>
    </row>
    <row r="144" spans="1:8" x14ac:dyDescent="0.4">
      <c r="A144" s="43"/>
      <c r="B144" s="43"/>
      <c r="C144" s="45"/>
      <c r="D144" s="44"/>
      <c r="E144" s="45"/>
      <c r="F144" s="45"/>
      <c r="G144" s="45"/>
      <c r="H144" s="4"/>
    </row>
  </sheetData>
  <mergeCells count="1">
    <mergeCell ref="A3:B3"/>
  </mergeCells>
  <phoneticPr fontId="4" type="noConversion"/>
  <pageMargins left="0.7" right="0.7" top="0.75" bottom="0.75" header="0.3" footer="0.3"/>
  <pageSetup fitToHeight="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zoomScale="130" zoomScaleNormal="130" workbookViewId="0">
      <pane xSplit="1" ySplit="5" topLeftCell="G6" activePane="bottomRight" state="frozen"/>
      <selection activeCell="E17" sqref="E17"/>
      <selection pane="topRight" activeCell="E17" sqref="E17"/>
      <selection pane="bottomLeft" activeCell="E17" sqref="E17"/>
      <selection pane="bottomRight" activeCell="J19" sqref="J19"/>
    </sheetView>
  </sheetViews>
  <sheetFormatPr defaultColWidth="9.1328125" defaultRowHeight="14.25" x14ac:dyDescent="0.45"/>
  <cols>
    <col min="1" max="1" width="33.265625" style="1" customWidth="1"/>
    <col min="2" max="3" width="15" style="1" customWidth="1"/>
    <col min="4" max="5" width="14.73046875" style="1" customWidth="1"/>
    <col min="6" max="7" width="16" style="1" customWidth="1"/>
    <col min="8" max="8" width="16.1328125" style="1" customWidth="1"/>
    <col min="9" max="9" width="3.86328125" style="1" customWidth="1"/>
    <col min="10" max="11" width="15.1328125" style="1" customWidth="1"/>
    <col min="12" max="12" width="15.73046875" style="7" customWidth="1"/>
    <col min="13" max="16384" width="9.1328125" style="1"/>
  </cols>
  <sheetData>
    <row r="1" spans="1:12" x14ac:dyDescent="0.45">
      <c r="A1" s="16" t="s">
        <v>43</v>
      </c>
      <c r="B1" s="7"/>
      <c r="C1" s="7"/>
      <c r="D1" s="59"/>
      <c r="E1" s="7"/>
      <c r="F1" s="7"/>
      <c r="G1" s="7"/>
      <c r="H1" s="7"/>
      <c r="I1" s="7"/>
      <c r="J1" s="7"/>
      <c r="K1" s="7"/>
    </row>
    <row r="2" spans="1:12" x14ac:dyDescent="0.45">
      <c r="A2" s="17" t="s">
        <v>65</v>
      </c>
      <c r="B2" s="7"/>
      <c r="C2" s="7"/>
      <c r="D2" s="61" t="s">
        <v>93</v>
      </c>
      <c r="E2" s="19">
        <v>26</v>
      </c>
      <c r="F2" s="7" t="s">
        <v>99</v>
      </c>
      <c r="G2" s="7"/>
      <c r="H2" s="7"/>
      <c r="I2" s="7"/>
      <c r="J2" s="7"/>
      <c r="K2" s="7"/>
    </row>
    <row r="3" spans="1:12" x14ac:dyDescent="0.45">
      <c r="A3" s="18">
        <v>45473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x14ac:dyDescent="0.45">
      <c r="A4" s="18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ht="42.75" x14ac:dyDescent="0.45">
      <c r="A5" s="7"/>
      <c r="B5" s="20"/>
      <c r="C5" s="21" t="s">
        <v>86</v>
      </c>
      <c r="D5" s="22" t="s">
        <v>87</v>
      </c>
      <c r="E5" s="22" t="s">
        <v>118</v>
      </c>
      <c r="F5" s="22" t="s">
        <v>94</v>
      </c>
      <c r="G5" s="22" t="s">
        <v>122</v>
      </c>
      <c r="H5" s="22" t="s">
        <v>121</v>
      </c>
      <c r="I5" s="7"/>
      <c r="J5" s="8" t="s">
        <v>88</v>
      </c>
      <c r="K5" s="8" t="s">
        <v>115</v>
      </c>
      <c r="L5" s="8" t="s">
        <v>95</v>
      </c>
    </row>
    <row r="6" spans="1:12" x14ac:dyDescent="0.45">
      <c r="A6" s="7"/>
      <c r="B6" s="10"/>
      <c r="C6" s="10"/>
      <c r="D6" s="10"/>
      <c r="E6" s="10"/>
      <c r="F6" s="10"/>
      <c r="G6" s="10"/>
      <c r="H6" s="10"/>
      <c r="I6" s="10"/>
      <c r="J6" s="7"/>
      <c r="K6" s="7"/>
    </row>
    <row r="7" spans="1:12" x14ac:dyDescent="0.45">
      <c r="A7" s="23" t="s">
        <v>46</v>
      </c>
      <c r="B7" s="10"/>
      <c r="C7" s="10"/>
      <c r="D7" s="10"/>
      <c r="E7" s="10"/>
      <c r="F7" s="10"/>
      <c r="G7" s="10"/>
      <c r="H7" s="10"/>
      <c r="I7" s="7"/>
      <c r="J7" s="7"/>
      <c r="K7" s="7"/>
    </row>
    <row r="8" spans="1:12" x14ac:dyDescent="0.45">
      <c r="A8" s="24" t="s">
        <v>267</v>
      </c>
      <c r="B8" s="24" t="s">
        <v>46</v>
      </c>
      <c r="C8" s="25"/>
      <c r="D8" s="93">
        <v>54100</v>
      </c>
      <c r="E8" s="11">
        <v>500</v>
      </c>
      <c r="F8" s="11">
        <v>0</v>
      </c>
      <c r="G8" s="11"/>
      <c r="H8" s="97">
        <v>56200</v>
      </c>
      <c r="I8" s="7"/>
      <c r="J8" s="58">
        <v>7200</v>
      </c>
      <c r="K8" s="58">
        <v>500</v>
      </c>
      <c r="L8" s="91">
        <f>H8+J8+K8</f>
        <v>63900</v>
      </c>
    </row>
    <row r="9" spans="1:12" x14ac:dyDescent="0.45">
      <c r="A9" s="26" t="s">
        <v>280</v>
      </c>
      <c r="B9" s="24" t="s">
        <v>46</v>
      </c>
      <c r="C9" s="24"/>
      <c r="D9" s="93">
        <v>46100</v>
      </c>
      <c r="E9" s="5">
        <v>500</v>
      </c>
      <c r="F9" s="5">
        <v>0</v>
      </c>
      <c r="G9" s="5"/>
      <c r="H9" s="97">
        <v>32000</v>
      </c>
      <c r="I9" s="7"/>
      <c r="J9" s="7"/>
      <c r="K9" s="7">
        <v>500</v>
      </c>
      <c r="L9" s="7">
        <f>H9+J9+K9</f>
        <v>32500</v>
      </c>
    </row>
    <row r="10" spans="1:12" x14ac:dyDescent="0.45">
      <c r="A10" s="24" t="s">
        <v>289</v>
      </c>
      <c r="B10" s="24" t="s">
        <v>81</v>
      </c>
      <c r="C10" s="24"/>
      <c r="D10" s="93">
        <v>49600</v>
      </c>
      <c r="E10" s="5">
        <v>500</v>
      </c>
      <c r="F10" s="5">
        <v>0</v>
      </c>
      <c r="G10" s="5"/>
      <c r="H10" s="97">
        <v>46200</v>
      </c>
      <c r="I10" s="7"/>
      <c r="J10" s="58">
        <v>7200</v>
      </c>
      <c r="K10" s="58">
        <v>500</v>
      </c>
      <c r="L10" s="7">
        <f>H10+J10+K10</f>
        <v>53900</v>
      </c>
    </row>
    <row r="11" spans="1:12" x14ac:dyDescent="0.45">
      <c r="A11" s="24" t="s">
        <v>288</v>
      </c>
      <c r="B11" s="24" t="s">
        <v>46</v>
      </c>
      <c r="C11" s="90"/>
      <c r="D11" s="93">
        <v>53800</v>
      </c>
      <c r="E11" s="5">
        <v>500</v>
      </c>
      <c r="F11" s="5">
        <v>0</v>
      </c>
      <c r="G11" s="5"/>
      <c r="H11" s="97">
        <v>53000</v>
      </c>
      <c r="I11" s="7"/>
      <c r="J11" s="7">
        <v>7200</v>
      </c>
      <c r="K11" s="7">
        <v>500</v>
      </c>
      <c r="L11" s="7">
        <f t="shared" ref="L11:L16" si="0">H11+J11+K11</f>
        <v>60700</v>
      </c>
    </row>
    <row r="12" spans="1:12" x14ac:dyDescent="0.45">
      <c r="A12" s="24" t="s">
        <v>279</v>
      </c>
      <c r="B12" s="24" t="s">
        <v>46</v>
      </c>
      <c r="C12" s="90"/>
      <c r="D12" s="93">
        <v>26000</v>
      </c>
      <c r="E12" s="5">
        <v>500</v>
      </c>
      <c r="F12" s="5">
        <v>0</v>
      </c>
      <c r="G12" s="5"/>
      <c r="H12" s="97">
        <v>45000</v>
      </c>
      <c r="I12" s="7"/>
      <c r="J12" s="58"/>
      <c r="K12" s="58">
        <v>500</v>
      </c>
      <c r="L12" s="7">
        <f t="shared" si="0"/>
        <v>45500</v>
      </c>
    </row>
    <row r="13" spans="1:12" x14ac:dyDescent="0.45">
      <c r="A13" s="24" t="s">
        <v>268</v>
      </c>
      <c r="B13" s="24" t="s">
        <v>46</v>
      </c>
      <c r="C13" s="90"/>
      <c r="D13" s="93">
        <v>46700</v>
      </c>
      <c r="E13" s="5">
        <v>500</v>
      </c>
      <c r="F13" s="5">
        <v>0</v>
      </c>
      <c r="G13" s="5"/>
      <c r="H13" s="97">
        <v>50940</v>
      </c>
      <c r="I13" s="7"/>
      <c r="J13" s="7">
        <v>7200</v>
      </c>
      <c r="K13" s="7">
        <v>500</v>
      </c>
      <c r="L13" s="7">
        <f t="shared" si="0"/>
        <v>58640</v>
      </c>
    </row>
    <row r="14" spans="1:12" x14ac:dyDescent="0.45">
      <c r="A14" s="24" t="s">
        <v>274</v>
      </c>
      <c r="B14" s="24" t="s">
        <v>46</v>
      </c>
      <c r="C14" s="90"/>
      <c r="D14" s="93">
        <v>51000</v>
      </c>
      <c r="E14" s="5">
        <v>500</v>
      </c>
      <c r="F14" s="5"/>
      <c r="G14" s="5"/>
      <c r="H14" s="97">
        <v>52900</v>
      </c>
      <c r="I14" s="7"/>
      <c r="J14" s="58">
        <v>7200</v>
      </c>
      <c r="K14" s="58">
        <v>500</v>
      </c>
      <c r="L14" s="7">
        <f>SUM(H14:K14)</f>
        <v>60600</v>
      </c>
    </row>
    <row r="15" spans="1:12" x14ac:dyDescent="0.45">
      <c r="A15" s="24" t="s">
        <v>290</v>
      </c>
      <c r="B15" s="24" t="s">
        <v>46</v>
      </c>
      <c r="C15" s="90"/>
      <c r="D15" s="93">
        <v>46800</v>
      </c>
      <c r="E15" s="5">
        <v>500</v>
      </c>
      <c r="F15" s="5"/>
      <c r="G15" s="5"/>
      <c r="H15" s="97">
        <v>49900</v>
      </c>
      <c r="I15" s="7"/>
      <c r="J15" s="7">
        <v>7200</v>
      </c>
      <c r="K15" s="7">
        <v>500</v>
      </c>
      <c r="L15" s="7">
        <f>SUM(H15:K15)</f>
        <v>57600</v>
      </c>
    </row>
    <row r="16" spans="1:12" x14ac:dyDescent="0.45">
      <c r="A16" s="24" t="s">
        <v>287</v>
      </c>
      <c r="B16" s="24" t="s">
        <v>46</v>
      </c>
      <c r="C16" s="90"/>
      <c r="D16" s="93">
        <v>24000</v>
      </c>
      <c r="E16" s="5">
        <v>500</v>
      </c>
      <c r="F16" s="5">
        <v>0</v>
      </c>
      <c r="G16" s="5"/>
      <c r="H16" s="97">
        <v>30000</v>
      </c>
      <c r="I16" s="7"/>
      <c r="J16" s="58">
        <v>1860</v>
      </c>
      <c r="K16" s="58"/>
      <c r="L16" s="7">
        <f t="shared" si="0"/>
        <v>31860</v>
      </c>
    </row>
    <row r="17" spans="1:14" x14ac:dyDescent="0.45">
      <c r="A17" s="24" t="s">
        <v>283</v>
      </c>
      <c r="B17" s="24" t="s">
        <v>46</v>
      </c>
      <c r="C17" s="90">
        <f>SUM(D17/26)</f>
        <v>0</v>
      </c>
      <c r="D17" s="12">
        <v>0</v>
      </c>
      <c r="E17" s="13">
        <v>0</v>
      </c>
      <c r="F17" s="13"/>
      <c r="G17" s="13"/>
      <c r="H17" s="98">
        <v>6000</v>
      </c>
      <c r="I17" s="7"/>
      <c r="J17" s="9" t="s">
        <v>43</v>
      </c>
      <c r="K17" s="9"/>
      <c r="L17" s="9">
        <v>5000</v>
      </c>
    </row>
    <row r="18" spans="1:14" x14ac:dyDescent="0.45">
      <c r="A18" s="24" t="s">
        <v>273</v>
      </c>
      <c r="B18" s="24"/>
      <c r="C18" s="90"/>
      <c r="D18" s="132"/>
      <c r="E18" s="62"/>
      <c r="F18" s="62"/>
      <c r="G18" s="62"/>
      <c r="H18" s="133">
        <v>2000</v>
      </c>
      <c r="I18" s="7"/>
      <c r="J18" s="59"/>
      <c r="K18" s="59"/>
      <c r="L18" s="59">
        <v>2000</v>
      </c>
    </row>
    <row r="19" spans="1:14" x14ac:dyDescent="0.45">
      <c r="A19" s="24"/>
      <c r="B19" s="24"/>
      <c r="C19" s="90"/>
      <c r="D19" s="6">
        <f>SUM(D8:D17)</f>
        <v>398100</v>
      </c>
      <c r="E19" s="5">
        <f>SUM(E8:E17)</f>
        <v>4500</v>
      </c>
      <c r="F19" s="5">
        <f>SUM(F8:F17)</f>
        <v>0</v>
      </c>
      <c r="G19" s="5"/>
      <c r="H19" s="5">
        <f>SUM(H8:H18)</f>
        <v>424140</v>
      </c>
      <c r="I19" s="7"/>
      <c r="J19" s="5">
        <f>SUM(J8:J17)</f>
        <v>45060</v>
      </c>
      <c r="K19" s="5">
        <f>SUM(K8:K17)</f>
        <v>4000</v>
      </c>
      <c r="L19" s="79">
        <f>SUM(F19:K19)</f>
        <v>473200</v>
      </c>
    </row>
    <row r="20" spans="1:14" x14ac:dyDescent="0.45">
      <c r="A20" s="23" t="s">
        <v>82</v>
      </c>
      <c r="B20" s="24"/>
      <c r="C20" s="90"/>
      <c r="D20" s="6">
        <f>C20*26</f>
        <v>0</v>
      </c>
      <c r="E20" s="10"/>
      <c r="F20" s="10"/>
      <c r="G20" s="10"/>
      <c r="H20" s="10"/>
      <c r="I20" s="7"/>
      <c r="J20" s="7"/>
      <c r="K20" s="7"/>
    </row>
    <row r="21" spans="1:14" x14ac:dyDescent="0.45">
      <c r="A21" s="24"/>
      <c r="B21" s="24" t="s">
        <v>83</v>
      </c>
      <c r="C21" s="90">
        <f>SUM(D21/26)</f>
        <v>1538.4615384615386</v>
      </c>
      <c r="D21" s="72">
        <v>40000</v>
      </c>
      <c r="E21" s="5"/>
      <c r="F21" s="5">
        <v>0</v>
      </c>
      <c r="G21" s="5"/>
      <c r="H21" s="97"/>
      <c r="I21" s="7"/>
      <c r="J21" s="7"/>
      <c r="K21" s="7"/>
      <c r="L21" s="7">
        <f>H21+J21+K21</f>
        <v>0</v>
      </c>
      <c r="N21" s="100"/>
    </row>
    <row r="22" spans="1:14" x14ac:dyDescent="0.45">
      <c r="A22" s="24" t="s">
        <v>131</v>
      </c>
      <c r="B22" s="24"/>
      <c r="C22" s="90">
        <f>SUM(D22/26)</f>
        <v>4038.4615384615386</v>
      </c>
      <c r="D22" s="72">
        <v>105000</v>
      </c>
      <c r="E22" s="5"/>
      <c r="F22" s="5">
        <v>0</v>
      </c>
      <c r="G22" s="5"/>
      <c r="H22" s="99">
        <v>82000</v>
      </c>
      <c r="I22" s="7"/>
      <c r="J22" s="7">
        <v>7200</v>
      </c>
      <c r="K22" s="7"/>
      <c r="L22" s="7">
        <f>SUM(H22:K22)</f>
        <v>89200</v>
      </c>
    </row>
    <row r="23" spans="1:14" x14ac:dyDescent="0.45">
      <c r="A23" s="24" t="s">
        <v>266</v>
      </c>
      <c r="B23" s="24"/>
      <c r="C23" s="90">
        <v>1719.23</v>
      </c>
      <c r="D23" s="72">
        <v>62000</v>
      </c>
      <c r="E23" s="5"/>
      <c r="F23" s="5">
        <v>0</v>
      </c>
      <c r="G23" s="5"/>
      <c r="H23" s="99">
        <v>47500</v>
      </c>
      <c r="I23" s="7"/>
      <c r="J23" s="7"/>
      <c r="K23" s="7"/>
      <c r="L23" s="7">
        <f>SUM(H23:K23)</f>
        <v>47500</v>
      </c>
    </row>
    <row r="24" spans="1:14" x14ac:dyDescent="0.45">
      <c r="A24" s="24" t="s">
        <v>82</v>
      </c>
      <c r="B24" s="24" t="s">
        <v>1</v>
      </c>
      <c r="C24" s="90"/>
      <c r="D24" s="72">
        <v>30000</v>
      </c>
      <c r="E24" s="5">
        <v>0</v>
      </c>
      <c r="F24" s="5"/>
      <c r="G24" s="5"/>
      <c r="H24" s="5">
        <v>39000</v>
      </c>
      <c r="I24" s="7"/>
      <c r="J24" s="7"/>
      <c r="K24" s="7"/>
      <c r="L24" s="7">
        <f>SUM(H24:K24)</f>
        <v>39000</v>
      </c>
    </row>
    <row r="25" spans="1:14" x14ac:dyDescent="0.45">
      <c r="A25" s="24" t="s">
        <v>276</v>
      </c>
      <c r="B25" s="24"/>
      <c r="C25" s="92"/>
      <c r="D25" s="78"/>
      <c r="E25" s="13"/>
      <c r="F25" s="13"/>
      <c r="G25" s="13"/>
      <c r="H25" s="13"/>
      <c r="I25" s="7"/>
      <c r="K25" s="7"/>
    </row>
    <row r="26" spans="1:14" x14ac:dyDescent="0.45">
      <c r="A26" s="24" t="s">
        <v>113</v>
      </c>
      <c r="B26" s="24"/>
      <c r="C26" s="24">
        <f>SUM(C21:C25)</f>
        <v>7296.1530769230776</v>
      </c>
      <c r="D26" s="6">
        <f>SUM(D21:D25)</f>
        <v>237000</v>
      </c>
      <c r="E26" s="6">
        <v>0</v>
      </c>
      <c r="F26" s="6">
        <f>SUM(F21:F25)</f>
        <v>0</v>
      </c>
      <c r="G26" s="6">
        <f>SUM(G21:G25)</f>
        <v>0</v>
      </c>
      <c r="H26" s="6">
        <f>SUM(H21:H25)</f>
        <v>168500</v>
      </c>
      <c r="I26" s="7"/>
      <c r="J26" s="7">
        <f>SUM(J21:J24)</f>
        <v>7200</v>
      </c>
      <c r="K26" s="7">
        <f>SUM(K21:K25)</f>
        <v>0</v>
      </c>
      <c r="L26" s="7">
        <f>SUM(L21:L25)</f>
        <v>175700</v>
      </c>
    </row>
    <row r="27" spans="1:14" x14ac:dyDescent="0.45">
      <c r="A27" s="24"/>
      <c r="B27" s="24"/>
      <c r="C27" s="24"/>
      <c r="D27" s="6"/>
      <c r="E27" s="10"/>
      <c r="F27" s="10"/>
      <c r="G27" s="10"/>
      <c r="H27" s="10"/>
      <c r="I27" s="7"/>
      <c r="J27" s="7"/>
      <c r="K27" s="7"/>
    </row>
    <row r="28" spans="1:14" ht="16.149999999999999" x14ac:dyDescent="0.7">
      <c r="A28" s="28" t="s">
        <v>38</v>
      </c>
      <c r="B28" s="24"/>
      <c r="C28" s="24"/>
      <c r="D28" s="6"/>
      <c r="E28" s="10"/>
      <c r="F28" s="10"/>
      <c r="G28" s="10"/>
      <c r="H28" s="10"/>
      <c r="I28" s="7"/>
      <c r="J28" s="7"/>
      <c r="K28" s="7"/>
    </row>
    <row r="29" spans="1:14" x14ac:dyDescent="0.45">
      <c r="A29" s="24"/>
      <c r="B29" s="24"/>
      <c r="C29" s="24"/>
      <c r="D29" s="6"/>
      <c r="E29" s="10"/>
      <c r="F29" s="10"/>
      <c r="G29" s="10"/>
      <c r="H29" s="10"/>
      <c r="I29" s="7"/>
      <c r="J29" s="7"/>
      <c r="K29" s="7"/>
    </row>
    <row r="30" spans="1:14" x14ac:dyDescent="0.45">
      <c r="A30" s="24" t="s">
        <v>281</v>
      </c>
      <c r="B30" s="24" t="s">
        <v>84</v>
      </c>
      <c r="C30" s="24">
        <v>814</v>
      </c>
      <c r="D30" s="72">
        <f>C30*26</f>
        <v>21164</v>
      </c>
      <c r="E30" s="10"/>
      <c r="F30" s="10"/>
      <c r="G30" s="10"/>
      <c r="H30" s="62">
        <v>31500</v>
      </c>
      <c r="I30" s="7"/>
      <c r="J30" s="7"/>
      <c r="K30" s="7"/>
      <c r="L30" s="59">
        <f>H30+J30+K30</f>
        <v>31500</v>
      </c>
    </row>
    <row r="31" spans="1:14" x14ac:dyDescent="0.45">
      <c r="A31" s="24" t="s">
        <v>269</v>
      </c>
      <c r="B31" s="24" t="s">
        <v>119</v>
      </c>
      <c r="C31" s="27">
        <v>275</v>
      </c>
      <c r="D31" s="78">
        <v>5000</v>
      </c>
      <c r="E31" s="13">
        <v>0</v>
      </c>
      <c r="F31" s="14"/>
      <c r="G31" s="14"/>
      <c r="H31" s="98">
        <v>2000</v>
      </c>
      <c r="I31" s="7"/>
      <c r="J31" s="9">
        <v>0</v>
      </c>
      <c r="K31" s="9"/>
      <c r="L31" s="9">
        <f>H31+J31+K31</f>
        <v>2000</v>
      </c>
    </row>
    <row r="32" spans="1:14" x14ac:dyDescent="0.45">
      <c r="A32" s="24"/>
      <c r="B32" s="24"/>
      <c r="C32" s="24">
        <f>SUM(C30:C31)</f>
        <v>1089</v>
      </c>
      <c r="D32" s="24">
        <f t="shared" ref="D32:J32" si="1">SUM(D30:D31)</f>
        <v>26164</v>
      </c>
      <c r="E32" s="24">
        <f t="shared" si="1"/>
        <v>0</v>
      </c>
      <c r="F32" s="24">
        <f t="shared" si="1"/>
        <v>0</v>
      </c>
      <c r="G32" s="24">
        <f t="shared" si="1"/>
        <v>0</v>
      </c>
      <c r="H32" s="24">
        <f t="shared" si="1"/>
        <v>33500</v>
      </c>
      <c r="I32" s="7"/>
      <c r="J32" s="24">
        <f t="shared" si="1"/>
        <v>0</v>
      </c>
      <c r="K32" s="24">
        <f>SUM(K30:K31)</f>
        <v>0</v>
      </c>
      <c r="L32" s="24">
        <f>SUM(L30:L31)</f>
        <v>33500</v>
      </c>
    </row>
    <row r="33" spans="1:12" x14ac:dyDescent="0.45">
      <c r="A33" s="24"/>
      <c r="B33" s="24"/>
      <c r="C33" s="24"/>
      <c r="D33" s="6">
        <f>C33*26</f>
        <v>0</v>
      </c>
      <c r="E33" s="10"/>
      <c r="F33" s="10"/>
      <c r="G33" s="10"/>
      <c r="H33" s="10"/>
      <c r="I33" s="7"/>
      <c r="J33" s="7"/>
      <c r="K33" s="7"/>
    </row>
    <row r="34" spans="1:12" ht="14.65" thickBot="1" x14ac:dyDescent="0.5">
      <c r="A34" s="29" t="s">
        <v>85</v>
      </c>
      <c r="B34" s="29"/>
      <c r="C34" s="60">
        <f t="shared" ref="C34:H34" si="2">C19+C26+C32</f>
        <v>8385.1530769230776</v>
      </c>
      <c r="D34" s="60">
        <f t="shared" si="2"/>
        <v>661264</v>
      </c>
      <c r="E34" s="60">
        <f t="shared" si="2"/>
        <v>4500</v>
      </c>
      <c r="F34" s="60">
        <f t="shared" si="2"/>
        <v>0</v>
      </c>
      <c r="G34" s="60">
        <f t="shared" si="2"/>
        <v>0</v>
      </c>
      <c r="H34" s="60">
        <f t="shared" si="2"/>
        <v>626140</v>
      </c>
      <c r="I34" s="7"/>
      <c r="J34" s="60">
        <f>J19+J26+J32</f>
        <v>52260</v>
      </c>
      <c r="K34" s="60">
        <f>K19+K26+K32</f>
        <v>4000</v>
      </c>
      <c r="L34" s="60">
        <f>L19+L26+L32</f>
        <v>682400</v>
      </c>
    </row>
    <row r="35" spans="1:12" ht="14.65" thickTop="1" x14ac:dyDescent="0.45">
      <c r="A35" s="7"/>
      <c r="B35" s="10"/>
      <c r="C35" s="10"/>
      <c r="D35" s="10"/>
      <c r="E35" s="10"/>
      <c r="F35" s="7"/>
      <c r="G35" s="7"/>
      <c r="H35" s="7"/>
      <c r="I35" s="10"/>
      <c r="J35" s="7"/>
      <c r="K35" s="7"/>
    </row>
    <row r="36" spans="1:12" x14ac:dyDescent="0.45">
      <c r="A36" s="7"/>
      <c r="B36" s="30"/>
      <c r="C36" s="15"/>
      <c r="D36" s="31"/>
      <c r="E36" s="7"/>
      <c r="F36" s="7"/>
      <c r="G36" s="7"/>
      <c r="H36" s="7"/>
      <c r="I36" s="10"/>
      <c r="J36" s="7"/>
      <c r="K36" s="7"/>
    </row>
    <row r="37" spans="1:12" x14ac:dyDescent="0.45">
      <c r="A37" s="7"/>
      <c r="B37" s="30"/>
      <c r="C37" s="15"/>
      <c r="D37" s="31"/>
      <c r="E37" s="7"/>
      <c r="F37" s="7"/>
      <c r="G37" s="7"/>
      <c r="H37" s="7"/>
      <c r="I37" s="10"/>
      <c r="J37" s="7"/>
      <c r="K37" s="7"/>
    </row>
    <row r="38" spans="1:12" x14ac:dyDescent="0.45">
      <c r="A38" s="7"/>
      <c r="B38" s="30"/>
      <c r="C38" s="15"/>
      <c r="D38" s="31"/>
      <c r="E38" s="7"/>
      <c r="F38" s="7"/>
      <c r="G38" s="7"/>
      <c r="H38" s="7"/>
      <c r="I38" s="10"/>
      <c r="J38" s="7"/>
      <c r="K38" s="7"/>
    </row>
    <row r="39" spans="1:12" x14ac:dyDescent="0.45">
      <c r="A39" s="7"/>
      <c r="B39" s="30"/>
      <c r="C39" s="15"/>
      <c r="D39" s="31"/>
      <c r="E39" s="7"/>
      <c r="F39" s="7"/>
      <c r="G39" s="7"/>
      <c r="H39" s="7"/>
      <c r="I39" s="10"/>
      <c r="J39" s="7"/>
      <c r="K39" s="7"/>
    </row>
    <row r="40" spans="1:12" x14ac:dyDescent="0.45">
      <c r="A40" s="7"/>
      <c r="B40" s="30"/>
      <c r="C40" s="15"/>
      <c r="D40" s="31"/>
      <c r="E40" s="7"/>
      <c r="F40" s="7"/>
      <c r="G40" s="7"/>
      <c r="H40" s="7"/>
      <c r="I40" s="10"/>
      <c r="J40" s="7"/>
      <c r="K40" s="7"/>
    </row>
    <row r="41" spans="1:12" x14ac:dyDescent="0.45">
      <c r="A41" s="7"/>
      <c r="B41" s="30"/>
      <c r="C41" s="15"/>
      <c r="D41" s="31"/>
      <c r="E41" s="7"/>
      <c r="F41" s="7"/>
      <c r="G41" s="7"/>
      <c r="H41" s="7"/>
      <c r="I41" s="10"/>
      <c r="J41" s="7"/>
      <c r="K41" s="7"/>
    </row>
    <row r="42" spans="1:12" x14ac:dyDescent="0.45">
      <c r="A42" s="7"/>
      <c r="B42" s="30"/>
      <c r="C42" s="15"/>
      <c r="D42" s="31"/>
      <c r="E42" s="7"/>
      <c r="F42" s="7"/>
      <c r="G42" s="7"/>
      <c r="H42" s="7"/>
      <c r="I42" s="10"/>
      <c r="J42" s="7"/>
      <c r="K42" s="7"/>
    </row>
    <row r="43" spans="1:12" x14ac:dyDescent="0.45">
      <c r="A43" s="7"/>
      <c r="B43" s="30"/>
      <c r="C43" s="15"/>
      <c r="D43" s="31"/>
      <c r="E43" s="7"/>
      <c r="F43" s="7"/>
      <c r="G43" s="7"/>
      <c r="H43" s="7"/>
      <c r="I43" s="10"/>
      <c r="J43" s="7"/>
      <c r="K43" s="7"/>
    </row>
    <row r="44" spans="1:12" x14ac:dyDescent="0.45">
      <c r="A44" s="7"/>
      <c r="B44" s="30"/>
      <c r="C44" s="15"/>
      <c r="D44" s="31"/>
      <c r="E44" s="7"/>
      <c r="F44" s="7"/>
      <c r="G44" s="7"/>
      <c r="H44" s="7"/>
      <c r="I44" s="10"/>
      <c r="J44" s="7"/>
      <c r="K44" s="7"/>
    </row>
    <row r="45" spans="1:12" x14ac:dyDescent="0.45">
      <c r="A45" s="7"/>
      <c r="B45" s="30"/>
      <c r="C45" s="15"/>
      <c r="D45" s="31"/>
      <c r="E45" s="7"/>
      <c r="F45" s="7"/>
      <c r="G45" s="7"/>
      <c r="H45" s="7"/>
      <c r="I45" s="10"/>
      <c r="J45" s="7"/>
      <c r="K45" s="7"/>
    </row>
    <row r="46" spans="1:12" x14ac:dyDescent="0.45">
      <c r="A46" s="7"/>
      <c r="B46" s="30"/>
      <c r="C46" s="15"/>
      <c r="D46" s="31"/>
      <c r="E46" s="7"/>
      <c r="F46" s="7"/>
      <c r="G46" s="7"/>
      <c r="H46" s="7"/>
      <c r="I46" s="10"/>
      <c r="J46" s="7"/>
      <c r="K46" s="7"/>
    </row>
    <row r="47" spans="1:12" x14ac:dyDescent="0.45">
      <c r="A47" s="7"/>
      <c r="B47" s="30"/>
      <c r="C47" s="15"/>
      <c r="D47" s="31"/>
      <c r="E47" s="7"/>
      <c r="F47" s="7"/>
      <c r="G47" s="7"/>
      <c r="H47" s="7"/>
      <c r="I47" s="10"/>
      <c r="J47" s="7"/>
      <c r="K47" s="7"/>
    </row>
    <row r="48" spans="1:12" x14ac:dyDescent="0.45">
      <c r="A48" s="7"/>
      <c r="B48" s="30"/>
      <c r="C48" s="15"/>
      <c r="D48" s="31"/>
      <c r="E48" s="7"/>
      <c r="F48" s="7"/>
      <c r="G48" s="7"/>
      <c r="H48" s="7"/>
      <c r="I48" s="10"/>
      <c r="J48" s="7"/>
      <c r="K48" s="7"/>
    </row>
    <row r="49" spans="1:11" x14ac:dyDescent="0.45">
      <c r="A49" s="7"/>
      <c r="B49" s="30"/>
      <c r="C49" s="15"/>
      <c r="D49" s="31"/>
      <c r="E49" s="7"/>
      <c r="F49" s="7"/>
      <c r="G49" s="7"/>
      <c r="H49" s="7"/>
      <c r="I49" s="10"/>
      <c r="J49" s="7"/>
      <c r="K49" s="7"/>
    </row>
    <row r="50" spans="1:11" x14ac:dyDescent="0.45">
      <c r="A50" s="7"/>
      <c r="B50" s="30"/>
      <c r="C50" s="15"/>
      <c r="D50" s="31"/>
      <c r="E50" s="7"/>
      <c r="F50" s="7"/>
      <c r="G50" s="7"/>
      <c r="H50" s="7"/>
      <c r="I50" s="10"/>
      <c r="J50" s="7"/>
      <c r="K50" s="7"/>
    </row>
    <row r="51" spans="1:11" x14ac:dyDescent="0.45">
      <c r="A51" s="7"/>
      <c r="B51" s="30"/>
      <c r="C51" s="15"/>
      <c r="D51" s="31"/>
      <c r="E51" s="7"/>
      <c r="F51" s="7"/>
      <c r="G51" s="7"/>
      <c r="H51" s="7"/>
      <c r="I51" s="10"/>
      <c r="J51" s="7"/>
      <c r="K51" s="7"/>
    </row>
    <row r="52" spans="1:11" x14ac:dyDescent="0.45">
      <c r="A52" s="7"/>
      <c r="B52" s="30"/>
      <c r="C52" s="15"/>
      <c r="D52" s="31"/>
      <c r="E52" s="7"/>
      <c r="F52" s="7"/>
      <c r="G52" s="7"/>
      <c r="H52" s="7"/>
      <c r="I52" s="10"/>
      <c r="J52" s="7"/>
      <c r="K52" s="7"/>
    </row>
    <row r="53" spans="1:11" x14ac:dyDescent="0.45">
      <c r="A53" s="7"/>
      <c r="B53" s="30"/>
      <c r="C53" s="15"/>
      <c r="D53" s="31"/>
      <c r="E53" s="7"/>
      <c r="F53" s="7"/>
      <c r="G53" s="7"/>
      <c r="H53" s="7"/>
      <c r="I53" s="10"/>
      <c r="J53" s="7"/>
      <c r="K53" s="7"/>
    </row>
    <row r="54" spans="1:11" x14ac:dyDescent="0.4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4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</sheetData>
  <phoneticPr fontId="4" type="noConversion"/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7" sqref="E17"/>
    </sheetView>
  </sheetViews>
  <sheetFormatPr defaultRowHeight="14.25" x14ac:dyDescent="0.4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1" sqref="D11"/>
    </sheetView>
  </sheetViews>
  <sheetFormatPr defaultRowHeight="14.25" x14ac:dyDescent="0.45"/>
  <sheetData>
    <row r="1" spans="1:6" x14ac:dyDescent="0.45">
      <c r="A1" t="s">
        <v>284</v>
      </c>
    </row>
    <row r="3" spans="1:6" x14ac:dyDescent="0.45">
      <c r="A3" t="s">
        <v>64</v>
      </c>
      <c r="D3" s="96">
        <v>19500</v>
      </c>
    </row>
    <row r="4" spans="1:6" x14ac:dyDescent="0.45">
      <c r="A4" t="s">
        <v>123</v>
      </c>
      <c r="D4" s="96">
        <v>2000</v>
      </c>
    </row>
    <row r="5" spans="1:6" x14ac:dyDescent="0.45">
      <c r="A5" t="s">
        <v>124</v>
      </c>
      <c r="D5">
        <v>2000</v>
      </c>
    </row>
    <row r="6" spans="1:6" x14ac:dyDescent="0.45">
      <c r="A6" t="s">
        <v>12</v>
      </c>
      <c r="D6">
        <v>1000</v>
      </c>
      <c r="F6" t="s">
        <v>129</v>
      </c>
    </row>
    <row r="7" spans="1:6" x14ac:dyDescent="0.45">
      <c r="A7" t="s">
        <v>125</v>
      </c>
      <c r="D7">
        <v>1000</v>
      </c>
    </row>
    <row r="8" spans="1:6" x14ac:dyDescent="0.45">
      <c r="A8" t="s">
        <v>12</v>
      </c>
      <c r="D8">
        <v>2000</v>
      </c>
    </row>
    <row r="9" spans="1:6" x14ac:dyDescent="0.45">
      <c r="A9" t="s">
        <v>260</v>
      </c>
      <c r="D9">
        <v>2500</v>
      </c>
    </row>
    <row r="10" spans="1:6" x14ac:dyDescent="0.45">
      <c r="D10" s="96">
        <f>SUM(D3:D9)</f>
        <v>30000</v>
      </c>
    </row>
    <row r="11" spans="1:6" x14ac:dyDescent="0.45">
      <c r="A11" t="s">
        <v>126</v>
      </c>
      <c r="D11" s="96">
        <v>39000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4"/>
  <sheetViews>
    <sheetView workbookViewId="0">
      <selection activeCell="E17" sqref="E17"/>
    </sheetView>
  </sheetViews>
  <sheetFormatPr defaultRowHeight="14.25" x14ac:dyDescent="0.45"/>
  <sheetData>
    <row r="3" spans="3:3" x14ac:dyDescent="0.45">
      <c r="C3" s="94"/>
    </row>
    <row r="4" spans="3:3" x14ac:dyDescent="0.45">
      <c r="C4" s="9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7"/>
  <sheetViews>
    <sheetView workbookViewId="0">
      <selection activeCell="E17" sqref="E17"/>
    </sheetView>
  </sheetViews>
  <sheetFormatPr defaultRowHeight="14.25" x14ac:dyDescent="0.45"/>
  <cols>
    <col min="1" max="1" width="10.86328125" customWidth="1"/>
  </cols>
  <sheetData>
    <row r="3" spans="3:3" x14ac:dyDescent="0.45">
      <c r="C3" s="95"/>
    </row>
    <row r="5" spans="3:3" x14ac:dyDescent="0.45">
      <c r="C5" s="95"/>
    </row>
    <row r="7" spans="3:3" x14ac:dyDescent="0.45">
      <c r="C7" s="9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7" sqref="C7"/>
    </sheetView>
  </sheetViews>
  <sheetFormatPr defaultRowHeight="14.25" x14ac:dyDescent="0.45"/>
  <sheetData>
    <row r="1" spans="1:4" x14ac:dyDescent="0.45">
      <c r="A1" t="s">
        <v>275</v>
      </c>
      <c r="C1" s="96">
        <v>27000</v>
      </c>
    </row>
    <row r="2" spans="1:4" x14ac:dyDescent="0.45">
      <c r="A2" t="s">
        <v>261</v>
      </c>
      <c r="C2" s="96">
        <v>8000</v>
      </c>
    </row>
    <row r="3" spans="1:4" x14ac:dyDescent="0.45">
      <c r="A3" t="s">
        <v>262</v>
      </c>
      <c r="C3" s="96">
        <v>48000</v>
      </c>
      <c r="D3" s="96"/>
    </row>
    <row r="4" spans="1:4" x14ac:dyDescent="0.45">
      <c r="A4" t="s">
        <v>263</v>
      </c>
      <c r="C4" s="96">
        <v>11250</v>
      </c>
    </row>
    <row r="5" spans="1:4" x14ac:dyDescent="0.45">
      <c r="A5" t="s">
        <v>264</v>
      </c>
      <c r="C5" s="96">
        <v>8000</v>
      </c>
    </row>
    <row r="6" spans="1:4" x14ac:dyDescent="0.45">
      <c r="A6" t="s">
        <v>265</v>
      </c>
      <c r="C6" s="96">
        <v>17750</v>
      </c>
    </row>
    <row r="7" spans="1:4" x14ac:dyDescent="0.45">
      <c r="A7" t="s">
        <v>271</v>
      </c>
      <c r="C7" s="96">
        <v>2000</v>
      </c>
    </row>
    <row r="8" spans="1:4" x14ac:dyDescent="0.45">
      <c r="A8" t="s">
        <v>272</v>
      </c>
      <c r="C8" s="96">
        <v>6250</v>
      </c>
    </row>
    <row r="9" spans="1:4" x14ac:dyDescent="0.45">
      <c r="C9">
        <f>SUM(C1:C8)</f>
        <v>128250</v>
      </c>
    </row>
    <row r="18" spans="3:3" x14ac:dyDescent="0.45">
      <c r="C18" s="96"/>
    </row>
    <row r="19" spans="3:3" x14ac:dyDescent="0.45">
      <c r="C19" s="9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7" sqref="E17"/>
    </sheetView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A01A20120024684723A52CEF41B52" ma:contentTypeVersion="2" ma:contentTypeDescription="Create a new document." ma:contentTypeScope="" ma:versionID="34560a29527692490430e674f79c7760">
  <xsd:schema xmlns:xsd="http://www.w3.org/2001/XMLSchema" xmlns:xs="http://www.w3.org/2001/XMLSchema" xmlns:p="http://schemas.microsoft.com/office/2006/metadata/properties" xmlns:ns2="32406309-732c-4ef7-8c20-ecf230c31065" targetNamespace="http://schemas.microsoft.com/office/2006/metadata/properties" ma:root="true" ma:fieldsID="0c4a76d7f336f9ffeba511cd8d440a9b" ns2:_="">
    <xsd:import namespace="32406309-732c-4ef7-8c20-ecf230c310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06309-732c-4ef7-8c20-ecf230c310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AF060-91FB-497E-8B53-D8DD0E5B6D6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32406309-732c-4ef7-8c20-ecf230c3106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1FD96B-B6CB-4974-B711-008E5BC1D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406309-732c-4ef7-8c20-ecf230c31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E6BE65-6D7E-4B96-9370-3D6C02AD26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Budget - Drafted</vt:lpstr>
      <vt:lpstr>Budget-FY2024</vt:lpstr>
      <vt:lpstr>Payroll FY2024</vt:lpstr>
      <vt:lpstr>Safety</vt:lpstr>
      <vt:lpstr>Capital</vt:lpstr>
      <vt:lpstr>Title I</vt:lpstr>
      <vt:lpstr>Title IV</vt:lpstr>
      <vt:lpstr>CARES</vt:lpstr>
      <vt:lpstr>Sheet5</vt:lpstr>
      <vt:lpstr>'Budget-FY2024'!Print_Area</vt:lpstr>
      <vt:lpstr>'Payroll FY2024'!Print_Area</vt:lpstr>
      <vt:lpstr>'Budget - Drafted'!Print_Titles</vt:lpstr>
      <vt:lpstr>'Budget-FY2024'!Print_Titles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Ruth</dc:creator>
  <cp:lastModifiedBy>Jody Litchford</cp:lastModifiedBy>
  <cp:lastPrinted>2025-05-15T13:22:12Z</cp:lastPrinted>
  <dcterms:created xsi:type="dcterms:W3CDTF">2010-12-15T18:12:59Z</dcterms:created>
  <dcterms:modified xsi:type="dcterms:W3CDTF">2026-02-10T14:01:16Z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0x0101004EEA01A20120024684723A52CEF41B52</vt:lpwstr>
  </property>
</Properties>
</file>